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ate1904="1" showInkAnnotation="0"/>
  <mc:AlternateContent xmlns:mc="http://schemas.openxmlformats.org/markup-compatibility/2006">
    <mc:Choice Requires="x15">
      <x15ac:absPath xmlns:x15ac="http://schemas.microsoft.com/office/spreadsheetml/2010/11/ac" url="P:\EH\Sewage\"/>
    </mc:Choice>
  </mc:AlternateContent>
  <xr:revisionPtr revIDLastSave="0" documentId="13_ncr:1_{65794D4E-B866-4ABC-925D-DEC89945323F}" xr6:coauthVersionLast="45" xr6:coauthVersionMax="45" xr10:uidLastSave="{00000000-0000-0000-0000-000000000000}"/>
  <workbookProtection workbookAlgorithmName="SHA-512" workbookHashValue="fBHDeUOLiO7lkNx5lDpFi/E5G+uefe9tKnYx3jZNm70EDVuVZzwU5QtxgXrPLYRPv5IJAPQ7jsVyXGQcWXeqGg==" workbookSaltValue="W9iW2snDEzsCCVEfbLaD3g==" workbookSpinCount="100000" lockStructure="1"/>
  <bookViews>
    <workbookView xWindow="-120" yWindow="-120" windowWidth="29040" windowHeight="15840" xr2:uid="{00000000-000D-0000-FFFF-FFFF00000000}"/>
  </bookViews>
  <sheets>
    <sheet name="Leaching" sheetId="1" r:id="rId1"/>
    <sheet name="tables" sheetId="2" state="hidden" r:id="rId2"/>
    <sheet name="lookups" sheetId="3" r:id="rId3"/>
  </sheets>
  <definedNames>
    <definedName name="_xlnm._FilterDatabase" localSheetId="0" hidden="1">lookups!$B$2:$J$48</definedName>
    <definedName name="_xlnm.Print_Area" localSheetId="0">Leaching!$A$1:$I$99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" l="1"/>
  <c r="F33" i="2" l="1"/>
  <c r="D34" i="2"/>
  <c r="F34" i="2"/>
  <c r="D33" i="2"/>
  <c r="D37" i="2"/>
  <c r="D36" i="2" l="1"/>
  <c r="H36" i="2" l="1"/>
  <c r="K36" i="2" s="1"/>
  <c r="D60" i="1" l="1"/>
  <c r="E33" i="1"/>
  <c r="G32" i="1"/>
  <c r="A54" i="1" l="1"/>
  <c r="C72" i="1"/>
  <c r="D61" i="1" l="1"/>
  <c r="C33" i="1"/>
  <c r="C62" i="1" l="1"/>
  <c r="E35" i="1"/>
  <c r="E10" i="1" l="1"/>
  <c r="G11" i="1" s="1"/>
  <c r="C79" i="1"/>
  <c r="D35" i="2"/>
  <c r="D39" i="2" s="1"/>
  <c r="H35" i="2"/>
  <c r="K35" i="2" s="1"/>
  <c r="D41" i="2" l="1"/>
  <c r="D42" i="2"/>
  <c r="K37" i="2"/>
  <c r="K38" i="2" s="1"/>
  <c r="H38" i="2" s="1"/>
  <c r="H39" i="2" l="1"/>
  <c r="D44" i="1"/>
  <c r="D76" i="1"/>
  <c r="E78" i="1" s="1"/>
  <c r="C30" i="1" l="1"/>
  <c r="D36" i="1" s="1"/>
  <c r="F54" i="1" s="1"/>
  <c r="F60" i="1" s="1"/>
  <c r="E77" i="1"/>
  <c r="F36" i="1" l="1"/>
  <c r="F55" i="1" s="1"/>
  <c r="F61" i="1" s="1"/>
  <c r="D38" i="1" l="1"/>
  <c r="F56" i="1" s="1"/>
  <c r="D62" i="1" s="1"/>
  <c r="C29" i="1" l="1"/>
  <c r="D40" i="1" s="1"/>
  <c r="F57" i="1" s="1"/>
  <c r="D5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 Ebel</author>
  </authors>
  <commentList>
    <comment ref="F4" authorId="0" shapeId="0" xr:uid="{E28ACE97-D813-4306-992D-598F23551737}">
      <text>
        <r>
          <rPr>
            <b/>
            <sz val="9"/>
            <color indexed="81"/>
            <rFont val="Tahoma"/>
            <family val="2"/>
          </rPr>
          <t>Joe Ebel:</t>
        </r>
        <r>
          <rPr>
            <sz val="9"/>
            <color indexed="81"/>
            <rFont val="Tahoma"/>
            <family val="2"/>
          </rPr>
          <t xml:space="preserve">
BOD/TSS
</t>
        </r>
      </text>
    </comment>
    <comment ref="D33" authorId="0" shapeId="0" xr:uid="{63637CFE-2971-4127-8540-6D7B35D10A1C}">
      <text>
        <r>
          <rPr>
            <b/>
            <sz val="9"/>
            <color indexed="81"/>
            <rFont val="Tahoma"/>
            <family val="2"/>
          </rPr>
          <t>Joe Ebel:</t>
        </r>
        <r>
          <rPr>
            <sz val="9"/>
            <color indexed="81"/>
            <rFont val="Tahoma"/>
            <family val="2"/>
          </rPr>
          <t xml:space="preserve">
From "leaching" tab</t>
        </r>
      </text>
    </comment>
  </commentList>
</comments>
</file>

<file path=xl/sharedStrings.xml><?xml version="1.0" encoding="utf-8"?>
<sst xmlns="http://schemas.openxmlformats.org/spreadsheetml/2006/main" count="363" uniqueCount="267">
  <si>
    <t>Notes:</t>
  </si>
  <si>
    <t>Slope</t>
  </si>
  <si>
    <t xml:space="preserve">          Original grade</t>
  </si>
  <si>
    <t>Restrictive layer</t>
  </si>
  <si>
    <t>1.</t>
  </si>
  <si>
    <t>FLOW</t>
  </si>
  <si>
    <t>gpd</t>
  </si>
  <si>
    <t>SEPTIC TANK LIQUID VOLUMES</t>
  </si>
  <si>
    <t>Septic tank capacity</t>
  </si>
  <si>
    <t>2.</t>
  </si>
  <si>
    <t>Bedrooms</t>
  </si>
  <si>
    <t>2 or less</t>
  </si>
  <si>
    <t>3.</t>
  </si>
  <si>
    <t>4.</t>
  </si>
  <si>
    <t>5.</t>
  </si>
  <si>
    <t>% Land Slope</t>
  </si>
  <si>
    <t xml:space="preserve">Number of tanks/compartments </t>
  </si>
  <si>
    <t>Number of Bedrooms</t>
  </si>
  <si>
    <t>HSTS Design Flow</t>
  </si>
  <si>
    <t xml:space="preserve">gpd </t>
  </si>
  <si>
    <t>4 or 5</t>
  </si>
  <si>
    <t>SFOSTS</t>
  </si>
  <si>
    <t>1000 min. (2X flow)</t>
  </si>
  <si>
    <t>6.</t>
  </si>
  <si>
    <t>Structure Shape</t>
  </si>
  <si>
    <t>Structure Grade</t>
  </si>
  <si>
    <t>SFOSTS Flow</t>
  </si>
  <si>
    <t>7.</t>
  </si>
  <si>
    <t>Restriction</t>
  </si>
  <si>
    <t>Depth Required</t>
  </si>
  <si>
    <t>Soil Depth Required</t>
  </si>
  <si>
    <t>ABSORPTION AREA</t>
  </si>
  <si>
    <t>Yes</t>
  </si>
  <si>
    <t>No</t>
  </si>
  <si>
    <t>(Flow Rate/LLR)</t>
  </si>
  <si>
    <t>Value</t>
  </si>
  <si>
    <t>Location:</t>
  </si>
  <si>
    <t>Date</t>
  </si>
  <si>
    <t>Owner:</t>
  </si>
  <si>
    <t>Township/Village:</t>
  </si>
  <si>
    <t>Phone:</t>
  </si>
  <si>
    <t>Depth to Limiting Layer</t>
  </si>
  <si>
    <t>Prepared By:</t>
  </si>
  <si>
    <t>Grade</t>
  </si>
  <si>
    <t xml:space="preserve">1 Weak </t>
  </si>
  <si>
    <t>0 Structureless</t>
  </si>
  <si>
    <t>2 Moderate</t>
  </si>
  <si>
    <t>3  Strong</t>
  </si>
  <si>
    <t>Shape</t>
  </si>
  <si>
    <t>Blocky</t>
  </si>
  <si>
    <t>Platy</t>
  </si>
  <si>
    <t>Prismatic</t>
  </si>
  <si>
    <t>Granular</t>
  </si>
  <si>
    <t>Massive</t>
  </si>
  <si>
    <t>SFLR</t>
  </si>
  <si>
    <t>Credit</t>
  </si>
  <si>
    <t>Soil depth credit  (in.)</t>
  </si>
  <si>
    <t>Soil depth credit basis</t>
  </si>
  <si>
    <t>None</t>
  </si>
  <si>
    <t>Trench Length (Min.)</t>
  </si>
  <si>
    <t>Boxed areas must be filled in by designer. Other fields are calculated.</t>
  </si>
  <si>
    <t>" width</t>
  </si>
  <si>
    <t>Licking County Health Department Leaching Design Worksheet</t>
  </si>
  <si>
    <t>inches (enter 72 if none)</t>
  </si>
  <si>
    <t>Texture</t>
  </si>
  <si>
    <t>Coarse Sand - COS</t>
  </si>
  <si>
    <t>Sand - S</t>
  </si>
  <si>
    <t>Fine Sand - FS</t>
  </si>
  <si>
    <t>Very Fine Sand - VFS</t>
  </si>
  <si>
    <t>Loamy Coarse Sand - LCOS</t>
  </si>
  <si>
    <t>Loamy Sand - LS</t>
  </si>
  <si>
    <t>Loamy Fine Sand - LFS</t>
  </si>
  <si>
    <t>Loamy Very Fine Sand - LVFS</t>
  </si>
  <si>
    <t>Sandy Loam - SL</t>
  </si>
  <si>
    <t>Fine Sandy Loam - FSL</t>
  </si>
  <si>
    <t>Very Fine Sandy Loam - VFSL</t>
  </si>
  <si>
    <t>Loam - L</t>
  </si>
  <si>
    <t>Silt - SI</t>
  </si>
  <si>
    <t>Silt Loam - SIL</t>
  </si>
  <si>
    <t>Clay Loam - CL</t>
  </si>
  <si>
    <t>Silty Clay Loam - SICL</t>
  </si>
  <si>
    <t>Sandy Clay - SC</t>
  </si>
  <si>
    <t>Silty Clay - SIC</t>
  </si>
  <si>
    <t>Clay - C</t>
  </si>
  <si>
    <t>Pretreatment Device</t>
  </si>
  <si>
    <t>Pretreatment</t>
  </si>
  <si>
    <t>500 gpd ATU (Aerator)</t>
  </si>
  <si>
    <t>750 gpd ATU</t>
  </si>
  <si>
    <t>1000 gpd ATU</t>
  </si>
  <si>
    <t>Recirculating Sand Filter</t>
  </si>
  <si>
    <t>Peat Filter</t>
  </si>
  <si>
    <t>Pre-fabricated Filter</t>
  </si>
  <si>
    <t>Device Manufacturer</t>
  </si>
  <si>
    <t>" max. trench depth</t>
  </si>
  <si>
    <t>675 Price Rd., Newark, OH 43055. Phone (740) 349-6535 Fax (740) 349-6510   www.lickingcohealth.org</t>
  </si>
  <si>
    <t>Drip Distribution</t>
  </si>
  <si>
    <t>Trench Bottom Area</t>
  </si>
  <si>
    <t>Washington</t>
  </si>
  <si>
    <t>Fecal Coliform &lt;1,000</t>
  </si>
  <si>
    <t>Fecal Coliform &lt;200</t>
  </si>
  <si>
    <t>Bennington</t>
  </si>
  <si>
    <t>Bowling Green</t>
  </si>
  <si>
    <t>Burlington</t>
  </si>
  <si>
    <t>Eden</t>
  </si>
  <si>
    <t>Etna</t>
  </si>
  <si>
    <t>Fallsbury</t>
  </si>
  <si>
    <t>Franklin</t>
  </si>
  <si>
    <t>Granville Twp.</t>
  </si>
  <si>
    <t>Hanover</t>
  </si>
  <si>
    <t>Harrison</t>
  </si>
  <si>
    <t>Hartford</t>
  </si>
  <si>
    <t>Hopewell</t>
  </si>
  <si>
    <t>Jersey</t>
  </si>
  <si>
    <t>Liberty</t>
  </si>
  <si>
    <t>Licking</t>
  </si>
  <si>
    <t>Madison</t>
  </si>
  <si>
    <t>Mary Ann</t>
  </si>
  <si>
    <t>McKean</t>
  </si>
  <si>
    <t>Monroe</t>
  </si>
  <si>
    <t>Newark Twp.</t>
  </si>
  <si>
    <t>Perry</t>
  </si>
  <si>
    <t>Alexandria</t>
  </si>
  <si>
    <t>Buckeye Lake</t>
  </si>
  <si>
    <t>Granville Village</t>
  </si>
  <si>
    <t>Gratiot</t>
  </si>
  <si>
    <t>Heath</t>
  </si>
  <si>
    <t>Hebron</t>
  </si>
  <si>
    <t>Johnstown</t>
  </si>
  <si>
    <t>Kirkersville</t>
  </si>
  <si>
    <t>Pataskala</t>
  </si>
  <si>
    <t>St. Louisville</t>
  </si>
  <si>
    <t>Utica</t>
  </si>
  <si>
    <t>Newark City</t>
  </si>
  <si>
    <t>Column1</t>
  </si>
  <si>
    <t>Subangular Blocky</t>
  </si>
  <si>
    <t>SLOPE</t>
  </si>
  <si>
    <t>&gt;10%</t>
  </si>
  <si>
    <t>A</t>
  </si>
  <si>
    <t>0SG</t>
  </si>
  <si>
    <t>0M</t>
  </si>
  <si>
    <t>PL</t>
  </si>
  <si>
    <t>2,3</t>
  </si>
  <si>
    <t>PR,BK,GR</t>
  </si>
  <si>
    <t>1,2,3</t>
  </si>
  <si>
    <t>TEXTURE VALUE</t>
  </si>
  <si>
    <t>SHAPE</t>
  </si>
  <si>
    <t>GRADE</t>
  </si>
  <si>
    <t>ROW</t>
  </si>
  <si>
    <t>Soil (Infiltration) Loading Rate</t>
  </si>
  <si>
    <t>*Diagrams not to scale, for illustration purposes only.</t>
  </si>
  <si>
    <t>Leaching Trench Cross Section*</t>
  </si>
  <si>
    <t>Trench Fill 8" (Min)</t>
  </si>
  <si>
    <t>0 to 4%</t>
  </si>
  <si>
    <t>5 to 9%</t>
  </si>
  <si>
    <t>HLLR</t>
  </si>
  <si>
    <t>&gt;25</t>
  </si>
  <si>
    <t>&lt;25</t>
  </si>
  <si>
    <t>SLR &gt;25 CBOD</t>
  </si>
  <si>
    <t>SLR &lt;25 CBOD</t>
  </si>
  <si>
    <t>Timed Micro Dosing</t>
  </si>
  <si>
    <t>Low Pressure Distribution</t>
  </si>
  <si>
    <t>&gt;25 mg/L</t>
  </si>
  <si>
    <t>&lt;25mg/L</t>
  </si>
  <si>
    <t xml:space="preserve">Hydraulic Linear Loading Rate </t>
  </si>
  <si>
    <t>Not suitable for leaching system. Pretreatment or a mound may be required.</t>
  </si>
  <si>
    <t>2" minimum trench depth required for leaching systems.</t>
  </si>
  <si>
    <t xml:space="preserve"> +25% resting area</t>
  </si>
  <si>
    <t>(2br minimum design flow)</t>
  </si>
  <si>
    <t>Required</t>
  </si>
  <si>
    <t>Recommended</t>
  </si>
  <si>
    <t>Optional</t>
  </si>
  <si>
    <t>Gravel</t>
  </si>
  <si>
    <t>Gravelless</t>
  </si>
  <si>
    <t xml:space="preserve">Flow/Soil Loading Rate </t>
  </si>
  <si>
    <t>inches (before credits)</t>
  </si>
  <si>
    <t>Infiltrative Dist.</t>
  </si>
  <si>
    <t>Trench Media</t>
  </si>
  <si>
    <r>
      <t xml:space="preserve">Fecal Coliform </t>
    </r>
    <r>
      <rPr>
        <u/>
        <sz val="10"/>
        <rFont val="Arial"/>
        <family val="2"/>
      </rPr>
      <t>&lt;</t>
    </r>
    <r>
      <rPr>
        <sz val="10"/>
        <rFont val="arial"/>
        <family val="2"/>
      </rPr>
      <t>10,000 (standard ATU)</t>
    </r>
  </si>
  <si>
    <t>Timed Low Pressure Distribution</t>
  </si>
  <si>
    <t xml:space="preserve">Total Basal Area </t>
  </si>
  <si>
    <t>feet</t>
  </si>
  <si>
    <t>(Primary + Resting)</t>
  </si>
  <si>
    <t>Design Formula Worksheet</t>
  </si>
  <si>
    <t>Length (L) x Width (W) x Number of Lines (N) = Total Area (A)</t>
  </si>
  <si>
    <t>Primary Area</t>
  </si>
  <si>
    <t>Resting Area</t>
  </si>
  <si>
    <t>Sq. Ft. Minimum</t>
  </si>
  <si>
    <t>Ft. Minimum</t>
  </si>
  <si>
    <t>Trench Length</t>
  </si>
  <si>
    <t>Total Area</t>
  </si>
  <si>
    <t>Editable Fields</t>
  </si>
  <si>
    <r>
      <t>Primary Area Ft</t>
    </r>
    <r>
      <rPr>
        <b/>
        <vertAlign val="superscript"/>
        <sz val="11"/>
        <rFont val="Arial Narrow"/>
        <family val="2"/>
      </rPr>
      <t>2</t>
    </r>
  </si>
  <si>
    <r>
      <t>Resting Area Ft</t>
    </r>
    <r>
      <rPr>
        <b/>
        <vertAlign val="superscript"/>
        <sz val="11"/>
        <rFont val="Arial Narrow"/>
        <family val="2"/>
      </rPr>
      <t>2</t>
    </r>
  </si>
  <si>
    <r>
      <t>(N</t>
    </r>
    <r>
      <rPr>
        <b/>
        <vertAlign val="subscript"/>
        <sz val="11"/>
        <rFont val="Arial"/>
        <family val="2"/>
      </rPr>
      <t>1</t>
    </r>
    <r>
      <rPr>
        <b/>
        <sz val="11"/>
        <rFont val="Arial"/>
        <family val="2"/>
      </rPr>
      <t>) Number of Lines (primary)</t>
    </r>
  </si>
  <si>
    <r>
      <t>(N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) Number of Lines (resting)</t>
    </r>
  </si>
  <si>
    <t>Perimeter Drain</t>
  </si>
  <si>
    <t>(L) Length (ft.)</t>
  </si>
  <si>
    <t>(A) Total Absorption Area</t>
  </si>
  <si>
    <t>Above/(Below) Minimum Requirement</t>
  </si>
  <si>
    <t>(W) Width (in.)</t>
  </si>
  <si>
    <t>Minimum Requirements</t>
  </si>
  <si>
    <r>
      <t xml:space="preserve">gallons </t>
    </r>
    <r>
      <rPr>
        <i/>
        <sz val="11"/>
        <rFont val="Arial Narrow"/>
        <family val="2"/>
      </rPr>
      <t>(see figure 1)</t>
    </r>
  </si>
  <si>
    <r>
      <t xml:space="preserve">SOILS </t>
    </r>
    <r>
      <rPr>
        <i/>
        <sz val="11"/>
        <rFont val="Arial Narrow"/>
        <family val="2"/>
      </rPr>
      <t>(Site evaluation data)</t>
    </r>
  </si>
  <si>
    <r>
      <t>gpd/ ft</t>
    </r>
    <r>
      <rPr>
        <vertAlign val="superscript"/>
        <sz val="11"/>
        <rFont val="Arial Narrow"/>
        <family val="2"/>
      </rPr>
      <t xml:space="preserve">2 </t>
    </r>
  </si>
  <si>
    <r>
      <t>gpd/ft</t>
    </r>
    <r>
      <rPr>
        <vertAlign val="superscript"/>
        <sz val="11"/>
        <rFont val="Arial Narrow"/>
        <family val="2"/>
      </rPr>
      <t>2</t>
    </r>
  </si>
  <si>
    <r>
      <t xml:space="preserve"> ft</t>
    </r>
    <r>
      <rPr>
        <b/>
        <vertAlign val="superscript"/>
        <sz val="11"/>
        <rFont val="arial"/>
        <family val="2"/>
      </rPr>
      <t xml:space="preserve">2 </t>
    </r>
    <r>
      <rPr>
        <b/>
        <sz val="11"/>
        <rFont val="Arial"/>
        <family val="2"/>
      </rPr>
      <t>minimum</t>
    </r>
  </si>
  <si>
    <t>Union</t>
  </si>
  <si>
    <t>Add any comments here:</t>
  </si>
  <si>
    <t>St. Albans Twp.</t>
  </si>
  <si>
    <t>In Situ soil</t>
  </si>
  <si>
    <t>0 - None</t>
  </si>
  <si>
    <t xml:space="preserve">1 - Perched Seasonal Water </t>
  </si>
  <si>
    <t>2 - Dense Glacial Till</t>
  </si>
  <si>
    <t>3 - Bedrock - Impermeable</t>
  </si>
  <si>
    <t xml:space="preserve">4 - Bedrock - Fractured or Karst </t>
  </si>
  <si>
    <t>5 - Ground Water or Aquifer</t>
  </si>
  <si>
    <t>7 - Other High Risk Condition</t>
  </si>
  <si>
    <t>6 - Other Limiting Condition</t>
  </si>
  <si>
    <t>Inches</t>
  </si>
  <si>
    <t>BOD/TSS (&gt;25 septic / &lt;25 ATU)</t>
  </si>
  <si>
    <t>Test hole #1</t>
  </si>
  <si>
    <t>Test hole #2</t>
  </si>
  <si>
    <t>Test hole #3</t>
  </si>
  <si>
    <t>Test hole #4</t>
  </si>
  <si>
    <t>Test hole #5</t>
  </si>
  <si>
    <t>Test hole #6</t>
  </si>
  <si>
    <t>Test hole #7</t>
  </si>
  <si>
    <t>Test hole #8</t>
  </si>
  <si>
    <t>Soil Type/Name</t>
  </si>
  <si>
    <t>Min. Capacity</t>
  </si>
  <si>
    <t>Fig 1. Septic Tank Capacity</t>
  </si>
  <si>
    <t>Limiting Conditions</t>
  </si>
  <si>
    <t>Min. in situ unsaturated soil required</t>
  </si>
  <si>
    <t>Table design by Joe Ebel, Licking County Health Department, jebel@lickingcohealth.org. This is a tool to aid in system design. Verify state and local code compliance before issuing permits.</t>
  </si>
  <si>
    <t>This design tool is aid in leaching system design and review. Verify compliance with all local and state codes prior to issuing a permit.</t>
  </si>
  <si>
    <t>Original design by Joe Ebel, Licking County Health Department, jebel@lickingcohealth.org</t>
  </si>
  <si>
    <t>Test Hole #</t>
  </si>
  <si>
    <t xml:space="preserve">Max Trench Depth (2"min - 30"max) </t>
  </si>
  <si>
    <t>(if less than 2" see mound design)</t>
  </si>
  <si>
    <t>Design Tench Depth (can not exceed calculated max )</t>
  </si>
  <si>
    <t xml:space="preserve"> inches</t>
  </si>
  <si>
    <t>B2</t>
  </si>
  <si>
    <t>COS, S., LCOS, LS</t>
  </si>
  <si>
    <t>FS, VFS, LFS, LVFS</t>
  </si>
  <si>
    <t>CSL, SL</t>
  </si>
  <si>
    <t>FSL, VFSL</t>
  </si>
  <si>
    <t>L</t>
  </si>
  <si>
    <t>SIL</t>
  </si>
  <si>
    <t>SCL, CL, SICL</t>
  </si>
  <si>
    <t>SC, C, SIC</t>
  </si>
  <si>
    <t>Coarse Sandy Loam - CSL</t>
  </si>
  <si>
    <t>Sandy Clay Loam - SCL</t>
  </si>
  <si>
    <t>Soil Loading Rate</t>
  </si>
  <si>
    <t>Column #1</t>
  </si>
  <si>
    <t>Inf. Distance</t>
  </si>
  <si>
    <t>Column #</t>
  </si>
  <si>
    <t>24-48</t>
  </si>
  <si>
    <t>Row</t>
  </si>
  <si>
    <t>Total</t>
  </si>
  <si>
    <t>8-11</t>
  </si>
  <si>
    <t>12-23</t>
  </si>
  <si>
    <t>SLR</t>
  </si>
  <si>
    <t>Newton</t>
  </si>
  <si>
    <t>105 Sunset Drive, Newark OH</t>
  </si>
  <si>
    <t>740-360-2760</t>
  </si>
  <si>
    <t>Cindy Hollis</t>
  </si>
  <si>
    <t>Updated 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</si>
</sst>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_);[Red]\(0\)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1"/>
      <name val="Arial"/>
      <family val="2"/>
    </font>
    <font>
      <sz val="11"/>
      <name val="Arial Narrow"/>
      <family val="2"/>
    </font>
    <font>
      <b/>
      <sz val="16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u/>
      <sz val="10"/>
      <name val="Arial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10"/>
      <color indexed="9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55"/>
      <name val="Arial Narrow"/>
      <family val="2"/>
    </font>
    <font>
      <sz val="10"/>
      <color indexed="55"/>
      <name val="Arial Narrow"/>
      <family val="2"/>
    </font>
    <font>
      <b/>
      <sz val="10"/>
      <color indexed="55"/>
      <name val="Arial Narrow"/>
      <family val="2"/>
    </font>
    <font>
      <sz val="10"/>
      <color indexed="55"/>
      <name val="Arial Narrow"/>
      <family val="2"/>
    </font>
    <font>
      <sz val="10"/>
      <color theme="0" tint="-0.249977111117893"/>
      <name val="Arial Narrow"/>
      <family val="2"/>
    </font>
    <font>
      <b/>
      <sz val="10"/>
      <color rgb="FFFF0000"/>
      <name val="Arial Narrow"/>
      <family val="2"/>
    </font>
    <font>
      <i/>
      <sz val="12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0" tint="-0.249977111117893"/>
      <name val="Arial Narrow"/>
      <family val="2"/>
    </font>
    <font>
      <b/>
      <i/>
      <sz val="10"/>
      <name val="Arial Narrow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1"/>
      <color theme="5" tint="-0.249977111117893"/>
      <name val="Arial Narrow"/>
      <family val="2"/>
    </font>
    <font>
      <b/>
      <sz val="11"/>
      <color indexed="9"/>
      <name val="Arial Narrow"/>
      <family val="2"/>
    </font>
    <font>
      <b/>
      <i/>
      <sz val="11"/>
      <name val="Arial Narrow"/>
      <family val="2"/>
    </font>
    <font>
      <b/>
      <vertAlign val="superscript"/>
      <sz val="11"/>
      <name val="Arial Narrow"/>
      <family val="2"/>
    </font>
    <font>
      <b/>
      <sz val="11"/>
      <color theme="5" tint="-0.249977111117893"/>
      <name val="Arial Narrow"/>
      <family val="2"/>
    </font>
    <font>
      <i/>
      <sz val="11"/>
      <color theme="5" tint="-0.249977111117893"/>
      <name val="Arial Narrow"/>
      <family val="2"/>
    </font>
    <font>
      <b/>
      <vertAlign val="subscript"/>
      <sz val="11"/>
      <name val="Arial"/>
      <family val="2"/>
    </font>
    <font>
      <i/>
      <sz val="11"/>
      <name val="Arial Narrow"/>
      <family val="2"/>
    </font>
    <font>
      <vertAlign val="superscript"/>
      <sz val="11"/>
      <name val="Arial Narrow"/>
      <family val="2"/>
    </font>
    <font>
      <i/>
      <sz val="11"/>
      <color theme="9" tint="-0.249977111117893"/>
      <name val="Arial Narrow"/>
      <family val="2"/>
    </font>
    <font>
      <b/>
      <vertAlign val="superscript"/>
      <sz val="11"/>
      <name val="arial"/>
      <family val="2"/>
    </font>
    <font>
      <sz val="10"/>
      <color theme="0" tint="-0.249977111117893"/>
      <name val="Arial Narrow"/>
      <family val="2"/>
    </font>
    <font>
      <i/>
      <sz val="10"/>
      <name val="Arial Narrow"/>
      <family val="2"/>
    </font>
    <font>
      <sz val="8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b/>
      <sz val="10"/>
      <color rgb="FF00B0F0"/>
      <name val="Arial"/>
      <family val="2"/>
    </font>
    <font>
      <b/>
      <sz val="8"/>
      <color rgb="FF00B0F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</cellStyleXfs>
  <cellXfs count="239">
    <xf numFmtId="0" fontId="0" fillId="0" borderId="0" xfId="0"/>
    <xf numFmtId="49" fontId="3" fillId="0" borderId="0" xfId="0" applyNumberFormat="1" applyFont="1"/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49" fontId="6" fillId="0" borderId="0" xfId="0" applyNumberFormat="1" applyFont="1"/>
    <xf numFmtId="0" fontId="6" fillId="0" borderId="0" xfId="0" applyFont="1"/>
    <xf numFmtId="49" fontId="7" fillId="0" borderId="0" xfId="0" applyNumberFormat="1" applyFont="1" applyBorder="1"/>
    <xf numFmtId="0" fontId="7" fillId="0" borderId="0" xfId="0" applyFont="1" applyBorder="1"/>
    <xf numFmtId="0" fontId="3" fillId="0" borderId="0" xfId="0" applyFont="1" applyFill="1"/>
    <xf numFmtId="0" fontId="7" fillId="0" borderId="0" xfId="0" applyFont="1"/>
    <xf numFmtId="0" fontId="8" fillId="0" borderId="0" xfId="0" applyFont="1" applyFill="1"/>
    <xf numFmtId="49" fontId="3" fillId="0" borderId="0" xfId="0" applyNumberFormat="1" applyFont="1" applyBorder="1"/>
    <xf numFmtId="0" fontId="3" fillId="0" borderId="0" xfId="0" applyFont="1" applyBorder="1"/>
    <xf numFmtId="0" fontId="8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/>
    <xf numFmtId="164" fontId="3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3" fillId="0" borderId="0" xfId="0" applyFont="1" applyBorder="1"/>
    <xf numFmtId="0" fontId="3" fillId="0" borderId="1" xfId="0" applyNumberFormat="1" applyFont="1" applyBorder="1" applyAlignment="1">
      <alignment horizontal="center"/>
    </xf>
    <xf numFmtId="1" fontId="15" fillId="0" borderId="0" xfId="0" applyNumberFormat="1" applyFont="1" applyBorder="1"/>
    <xf numFmtId="0" fontId="7" fillId="0" borderId="0" xfId="0" applyFont="1" applyProtection="1">
      <protection hidden="1"/>
    </xf>
    <xf numFmtId="164" fontId="7" fillId="0" borderId="0" xfId="0" applyNumberFormat="1" applyFont="1" applyAlignment="1">
      <alignment horizontal="left"/>
    </xf>
    <xf numFmtId="164" fontId="11" fillId="3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4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11" fillId="0" borderId="12" xfId="0" applyFont="1" applyBorder="1"/>
    <xf numFmtId="0" fontId="13" fillId="0" borderId="7" xfId="0" applyFont="1" applyBorder="1"/>
    <xf numFmtId="164" fontId="3" fillId="0" borderId="0" xfId="0" applyNumberFormat="1" applyFont="1" applyBorder="1" applyAlignment="1" applyProtection="1">
      <alignment horizontal="center"/>
    </xf>
    <xf numFmtId="0" fontId="3" fillId="0" borderId="0" xfId="0" applyFont="1" applyProtection="1"/>
    <xf numFmtId="0" fontId="7" fillId="0" borderId="0" xfId="0" applyFont="1" applyProtection="1"/>
    <xf numFmtId="0" fontId="0" fillId="0" borderId="0" xfId="0" applyProtection="1"/>
    <xf numFmtId="0" fontId="17" fillId="0" borderId="0" xfId="0" applyFont="1" applyProtection="1"/>
    <xf numFmtId="0" fontId="10" fillId="0" borderId="0" xfId="0" applyFont="1" applyBorder="1"/>
    <xf numFmtId="0" fontId="16" fillId="0" borderId="0" xfId="0" applyFont="1" applyBorder="1" applyAlignment="1">
      <alignment horizontal="center"/>
    </xf>
    <xf numFmtId="0" fontId="3" fillId="0" borderId="0" xfId="0" applyFont="1" applyBorder="1" applyProtection="1"/>
    <xf numFmtId="0" fontId="0" fillId="0" borderId="0" xfId="0" applyBorder="1" applyProtection="1"/>
    <xf numFmtId="0" fontId="7" fillId="0" borderId="0" xfId="0" applyFont="1" applyBorder="1" applyProtection="1"/>
    <xf numFmtId="0" fontId="3" fillId="0" borderId="0" xfId="0" applyFont="1" applyBorder="1" applyProtection="1">
      <protection hidden="1"/>
    </xf>
    <xf numFmtId="2" fontId="19" fillId="0" borderId="0" xfId="0" applyNumberFormat="1" applyFont="1" applyBorder="1" applyAlignment="1">
      <alignment horizontal="left"/>
    </xf>
    <xf numFmtId="1" fontId="19" fillId="0" borderId="0" xfId="0" applyNumberFormat="1" applyFont="1" applyAlignment="1">
      <alignment horizontal="right"/>
    </xf>
    <xf numFmtId="0" fontId="13" fillId="0" borderId="0" xfId="0" applyFont="1" applyAlignment="1">
      <alignment vertical="top"/>
    </xf>
    <xf numFmtId="0" fontId="19" fillId="0" borderId="0" xfId="0" applyFont="1" applyBorder="1"/>
    <xf numFmtId="0" fontId="21" fillId="0" borderId="0" xfId="0" applyFont="1" applyProtection="1"/>
    <xf numFmtId="0" fontId="22" fillId="0" borderId="0" xfId="0" applyFont="1" applyProtection="1"/>
    <xf numFmtId="2" fontId="21" fillId="0" borderId="0" xfId="0" applyNumberFormat="1" applyFont="1" applyProtection="1"/>
    <xf numFmtId="2" fontId="22" fillId="0" borderId="0" xfId="0" applyNumberFormat="1" applyFont="1" applyProtection="1"/>
    <xf numFmtId="0" fontId="21" fillId="0" borderId="0" xfId="0" applyFont="1" applyBorder="1" applyProtection="1"/>
    <xf numFmtId="2" fontId="21" fillId="0" borderId="0" xfId="0" applyNumberFormat="1" applyFont="1" applyBorder="1" applyAlignment="1" applyProtection="1">
      <alignment horizontal="center"/>
    </xf>
    <xf numFmtId="2" fontId="21" fillId="0" borderId="0" xfId="0" applyNumberFormat="1" applyFont="1" applyBorder="1" applyProtection="1"/>
    <xf numFmtId="49" fontId="7" fillId="0" borderId="0" xfId="0" applyNumberFormat="1" applyFont="1"/>
    <xf numFmtId="0" fontId="3" fillId="0" borderId="7" xfId="0" applyFont="1" applyBorder="1" applyProtection="1">
      <protection locked="0"/>
    </xf>
    <xf numFmtId="0" fontId="23" fillId="0" borderId="0" xfId="0" applyFont="1" applyProtection="1"/>
    <xf numFmtId="2" fontId="23" fillId="0" borderId="0" xfId="0" applyNumberFormat="1" applyFont="1" applyProtection="1"/>
    <xf numFmtId="0" fontId="9" fillId="0" borderId="0" xfId="0" applyFont="1" applyBorder="1"/>
    <xf numFmtId="164" fontId="0" fillId="0" borderId="0" xfId="0" applyNumberFormat="1"/>
    <xf numFmtId="1" fontId="9" fillId="0" borderId="0" xfId="0" applyNumberFormat="1" applyFont="1" applyBorder="1"/>
    <xf numFmtId="0" fontId="9" fillId="0" borderId="0" xfId="0" applyFont="1"/>
    <xf numFmtId="0" fontId="18" fillId="0" borderId="0" xfId="0" applyFont="1"/>
    <xf numFmtId="2" fontId="0" fillId="0" borderId="0" xfId="0" applyNumberFormat="1"/>
    <xf numFmtId="0" fontId="7" fillId="0" borderId="0" xfId="0" applyFont="1" applyBorder="1" applyAlignment="1">
      <alignment horizontal="right"/>
    </xf>
    <xf numFmtId="1" fontId="19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right" vertical="top"/>
    </xf>
    <xf numFmtId="164" fontId="18" fillId="0" borderId="0" xfId="0" applyNumberFormat="1" applyFont="1"/>
    <xf numFmtId="9" fontId="0" fillId="0" borderId="0" xfId="0" applyNumberFormat="1"/>
    <xf numFmtId="1" fontId="0" fillId="0" borderId="0" xfId="0" applyNumberFormat="1"/>
    <xf numFmtId="0" fontId="0" fillId="0" borderId="10" xfId="0" applyBorder="1"/>
    <xf numFmtId="0" fontId="0" fillId="0" borderId="0" xfId="0" applyBorder="1"/>
    <xf numFmtId="164" fontId="0" fillId="0" borderId="12" xfId="0" applyNumberFormat="1" applyBorder="1"/>
    <xf numFmtId="164" fontId="0" fillId="0" borderId="0" xfId="0" applyNumberFormat="1" applyBorder="1"/>
    <xf numFmtId="164" fontId="0" fillId="0" borderId="13" xfId="0" applyNumberFormat="1" applyBorder="1"/>
    <xf numFmtId="164" fontId="0" fillId="0" borderId="8" xfId="0" applyNumberFormat="1" applyBorder="1"/>
    <xf numFmtId="164" fontId="0" fillId="0" borderId="4" xfId="0" applyNumberFormat="1" applyBorder="1"/>
    <xf numFmtId="164" fontId="0" fillId="0" borderId="14" xfId="0" applyNumberFormat="1" applyBorder="1"/>
    <xf numFmtId="0" fontId="20" fillId="0" borderId="0" xfId="0" applyFont="1" applyProtection="1"/>
    <xf numFmtId="0" fontId="24" fillId="0" borderId="0" xfId="0" applyFont="1" applyProtection="1"/>
    <xf numFmtId="0" fontId="24" fillId="0" borderId="0" xfId="0" applyFont="1" applyBorder="1" applyProtection="1"/>
    <xf numFmtId="2" fontId="24" fillId="0" borderId="0" xfId="0" applyNumberFormat="1" applyFont="1" applyProtection="1"/>
    <xf numFmtId="0" fontId="25" fillId="0" borderId="0" xfId="0" applyFont="1"/>
    <xf numFmtId="0" fontId="26" fillId="0" borderId="0" xfId="0" applyFont="1" applyBorder="1"/>
    <xf numFmtId="0" fontId="20" fillId="0" borderId="0" xfId="0" applyFont="1" applyBorder="1" applyProtection="1"/>
    <xf numFmtId="0" fontId="21" fillId="0" borderId="0" xfId="0" applyNumberFormat="1" applyFont="1" applyBorder="1" applyProtection="1"/>
    <xf numFmtId="0" fontId="28" fillId="0" borderId="0" xfId="0" applyFont="1" applyProtection="1"/>
    <xf numFmtId="1" fontId="27" fillId="5" borderId="4" xfId="2" applyNumberFormat="1" applyFont="1" applyBorder="1" applyAlignment="1">
      <alignment horizontal="center"/>
    </xf>
    <xf numFmtId="0" fontId="19" fillId="0" borderId="0" xfId="0" applyFont="1"/>
    <xf numFmtId="0" fontId="30" fillId="0" borderId="0" xfId="0" applyFont="1"/>
    <xf numFmtId="165" fontId="29" fillId="0" borderId="0" xfId="0" applyNumberFormat="1" applyFont="1" applyBorder="1" applyAlignment="1">
      <alignment horizontal="center" vertical="center"/>
    </xf>
    <xf numFmtId="0" fontId="31" fillId="0" borderId="0" xfId="0" applyFont="1"/>
    <xf numFmtId="0" fontId="5" fillId="0" borderId="0" xfId="0" applyFont="1"/>
    <xf numFmtId="0" fontId="5" fillId="0" borderId="0" xfId="0" applyFont="1" applyBorder="1"/>
    <xf numFmtId="0" fontId="13" fillId="0" borderId="0" xfId="0" applyFont="1"/>
    <xf numFmtId="0" fontId="32" fillId="0" borderId="0" xfId="0" applyFont="1" applyAlignment="1">
      <alignment horizontal="center" vertical="center"/>
    </xf>
    <xf numFmtId="164" fontId="33" fillId="0" borderId="0" xfId="0" applyNumberFormat="1" applyFont="1" applyBorder="1" applyAlignment="1">
      <alignment horizontal="center"/>
    </xf>
    <xf numFmtId="0" fontId="34" fillId="0" borderId="8" xfId="0" applyFont="1" applyBorder="1" applyAlignment="1">
      <alignment horizontal="center" vertical="center"/>
    </xf>
    <xf numFmtId="0" fontId="13" fillId="0" borderId="4" xfId="0" applyFont="1" applyBorder="1"/>
    <xf numFmtId="0" fontId="36" fillId="0" borderId="4" xfId="0" applyFont="1" applyBorder="1"/>
    <xf numFmtId="0" fontId="34" fillId="0" borderId="4" xfId="0" applyFont="1" applyBorder="1" applyAlignment="1">
      <alignment horizontal="center" vertical="center"/>
    </xf>
    <xf numFmtId="165" fontId="34" fillId="0" borderId="8" xfId="0" applyNumberFormat="1" applyFont="1" applyBorder="1" applyAlignment="1">
      <alignment horizontal="center" vertical="center"/>
    </xf>
    <xf numFmtId="0" fontId="4" fillId="0" borderId="0" xfId="0" applyFont="1"/>
    <xf numFmtId="0" fontId="37" fillId="0" borderId="0" xfId="0" applyFont="1" applyAlignment="1">
      <alignment horizontal="left" vertical="center"/>
    </xf>
    <xf numFmtId="0" fontId="2" fillId="6" borderId="0" xfId="1" applyFill="1" applyBorder="1" applyAlignment="1">
      <alignment horizontal="center"/>
    </xf>
    <xf numFmtId="0" fontId="27" fillId="6" borderId="0" xfId="1" applyFont="1" applyFill="1" applyBorder="1"/>
    <xf numFmtId="0" fontId="2" fillId="6" borderId="0" xfId="1" applyFill="1"/>
    <xf numFmtId="1" fontId="27" fillId="6" borderId="0" xfId="1" applyNumberFormat="1" applyFont="1" applyFill="1" applyBorder="1" applyAlignment="1">
      <alignment horizontal="center"/>
    </xf>
    <xf numFmtId="0" fontId="1" fillId="6" borderId="0" xfId="1" applyFont="1" applyFill="1" applyBorder="1"/>
    <xf numFmtId="0" fontId="1" fillId="6" borderId="0" xfId="1" applyFont="1" applyFill="1"/>
    <xf numFmtId="0" fontId="13" fillId="0" borderId="4" xfId="0" applyFont="1" applyBorder="1" applyAlignment="1">
      <alignment vertical="center"/>
    </xf>
    <xf numFmtId="0" fontId="13" fillId="7" borderId="7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" fontId="5" fillId="0" borderId="4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  <xf numFmtId="1" fontId="5" fillId="0" borderId="3" xfId="0" applyNumberFormat="1" applyFont="1" applyBorder="1" applyAlignment="1" applyProtection="1">
      <alignment horizontal="center"/>
      <protection locked="0"/>
    </xf>
    <xf numFmtId="0" fontId="5" fillId="0" borderId="0" xfId="0" applyFont="1" applyFill="1" applyBorder="1"/>
    <xf numFmtId="164" fontId="13" fillId="0" borderId="15" xfId="0" applyNumberFormat="1" applyFont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/>
    </xf>
    <xf numFmtId="9" fontId="5" fillId="0" borderId="7" xfId="0" applyNumberFormat="1" applyFont="1" applyBorder="1" applyAlignment="1" applyProtection="1">
      <alignment horizontal="center"/>
      <protection locked="0"/>
    </xf>
    <xf numFmtId="1" fontId="13" fillId="0" borderId="4" xfId="0" applyNumberFormat="1" applyFont="1" applyBorder="1" applyAlignment="1">
      <alignment horizontal="center"/>
    </xf>
    <xf numFmtId="1" fontId="13" fillId="0" borderId="0" xfId="0" applyNumberFormat="1" applyFont="1" applyBorder="1" applyAlignment="1">
      <alignment horizontal="center"/>
    </xf>
    <xf numFmtId="1" fontId="5" fillId="0" borderId="7" xfId="0" applyNumberFormat="1" applyFont="1" applyBorder="1" applyAlignment="1" applyProtection="1">
      <alignment horizontal="center"/>
      <protection locked="0"/>
    </xf>
    <xf numFmtId="0" fontId="41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31" fillId="0" borderId="0" xfId="0" applyFont="1" applyBorder="1"/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43" fillId="0" borderId="0" xfId="0" applyFont="1" applyProtection="1"/>
    <xf numFmtId="0" fontId="5" fillId="0" borderId="7" xfId="0" applyFont="1" applyBorder="1" applyAlignment="1" applyProtection="1">
      <alignment horizontal="left"/>
      <protection locked="0"/>
    </xf>
    <xf numFmtId="1" fontId="13" fillId="0" borderId="15" xfId="0" applyNumberFormat="1" applyFont="1" applyBorder="1" applyAlignment="1">
      <alignment horizontal="center"/>
    </xf>
    <xf numFmtId="1" fontId="27" fillId="6" borderId="4" xfId="2" applyNumberFormat="1" applyFont="1" applyFill="1" applyBorder="1" applyAlignment="1">
      <alignment horizontal="center"/>
    </xf>
    <xf numFmtId="1" fontId="13" fillId="0" borderId="4" xfId="0" applyNumberFormat="1" applyFont="1" applyBorder="1" applyAlignment="1" applyProtection="1">
      <alignment horizontal="center"/>
    </xf>
    <xf numFmtId="0" fontId="44" fillId="0" borderId="0" xfId="0" applyFont="1"/>
    <xf numFmtId="0" fontId="10" fillId="0" borderId="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5" fillId="0" borderId="0" xfId="0" applyFont="1" applyBorder="1"/>
    <xf numFmtId="0" fontId="0" fillId="0" borderId="15" xfId="0" applyBorder="1"/>
    <xf numFmtId="164" fontId="0" fillId="0" borderId="15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10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0" fontId="0" fillId="0" borderId="8" xfId="0" applyBorder="1"/>
    <xf numFmtId="0" fontId="0" fillId="0" borderId="4" xfId="0" applyBorder="1"/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/>
    </xf>
    <xf numFmtId="164" fontId="49" fillId="0" borderId="8" xfId="0" applyNumberFormat="1" applyFont="1" applyBorder="1" applyAlignment="1">
      <alignment horizontal="center"/>
    </xf>
    <xf numFmtId="164" fontId="49" fillId="0" borderId="4" xfId="0" applyNumberFormat="1" applyFont="1" applyBorder="1" applyAlignment="1">
      <alignment horizontal="center"/>
    </xf>
    <xf numFmtId="164" fontId="49" fillId="0" borderId="14" xfId="0" applyNumberFormat="1" applyFont="1" applyBorder="1" applyAlignment="1">
      <alignment horizontal="center"/>
    </xf>
    <xf numFmtId="164" fontId="49" fillId="0" borderId="0" xfId="0" applyNumberFormat="1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164" fontId="0" fillId="9" borderId="5" xfId="0" applyNumberFormat="1" applyFill="1" applyBorder="1" applyAlignment="1">
      <alignment horizontal="center"/>
    </xf>
    <xf numFmtId="0" fontId="19" fillId="9" borderId="0" xfId="0" applyFont="1" applyFill="1"/>
    <xf numFmtId="0" fontId="50" fillId="0" borderId="0" xfId="0" applyFont="1"/>
    <xf numFmtId="49" fontId="50" fillId="0" borderId="9" xfId="0" applyNumberFormat="1" applyFont="1" applyBorder="1" applyAlignment="1">
      <alignment horizontal="center"/>
    </xf>
    <xf numFmtId="49" fontId="50" fillId="0" borderId="10" xfId="0" applyNumberFormat="1" applyFont="1" applyBorder="1" applyAlignment="1">
      <alignment horizontal="center"/>
    </xf>
    <xf numFmtId="49" fontId="50" fillId="0" borderId="11" xfId="0" applyNumberFormat="1" applyFont="1" applyBorder="1" applyAlignment="1">
      <alignment horizontal="center"/>
    </xf>
    <xf numFmtId="164" fontId="0" fillId="9" borderId="6" xfId="0" applyNumberForma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0" fillId="9" borderId="11" xfId="0" applyNumberFormat="1" applyFill="1" applyBorder="1" applyAlignment="1">
      <alignment horizontal="center"/>
    </xf>
    <xf numFmtId="164" fontId="0" fillId="9" borderId="12" xfId="0" applyNumberFormat="1" applyFill="1" applyBorder="1" applyAlignment="1">
      <alignment horizontal="center"/>
    </xf>
    <xf numFmtId="164" fontId="0" fillId="9" borderId="13" xfId="0" applyNumberFormat="1" applyFill="1" applyBorder="1" applyAlignment="1">
      <alignment horizontal="center"/>
    </xf>
    <xf numFmtId="164" fontId="0" fillId="9" borderId="8" xfId="0" applyNumberFormat="1" applyFill="1" applyBorder="1" applyAlignment="1">
      <alignment horizontal="center"/>
    </xf>
    <xf numFmtId="164" fontId="0" fillId="9" borderId="14" xfId="0" applyNumberFormat="1" applyFill="1" applyBorder="1" applyAlignment="1">
      <alignment horizontal="center"/>
    </xf>
    <xf numFmtId="164" fontId="19" fillId="9" borderId="5" xfId="0" applyNumberFormat="1" applyFont="1" applyFill="1" applyBorder="1" applyAlignment="1">
      <alignment horizontal="center"/>
    </xf>
    <xf numFmtId="164" fontId="19" fillId="9" borderId="6" xfId="0" applyNumberFormat="1" applyFont="1" applyFill="1" applyBorder="1" applyAlignment="1">
      <alignment horizontal="center"/>
    </xf>
    <xf numFmtId="0" fontId="51" fillId="0" borderId="0" xfId="0" applyFont="1" applyAlignment="1">
      <alignment horizontal="right"/>
    </xf>
    <xf numFmtId="0" fontId="51" fillId="0" borderId="0" xfId="0" applyFont="1"/>
    <xf numFmtId="0" fontId="51" fillId="0" borderId="0" xfId="0" applyFont="1" applyAlignment="1">
      <alignment horizontal="center"/>
    </xf>
    <xf numFmtId="0" fontId="52" fillId="0" borderId="0" xfId="0" applyFont="1"/>
    <xf numFmtId="0" fontId="53" fillId="0" borderId="0" xfId="0" applyFont="1" applyAlignment="1">
      <alignment horizontal="right"/>
    </xf>
    <xf numFmtId="0" fontId="53" fillId="0" borderId="0" xfId="0" applyFont="1"/>
    <xf numFmtId="0" fontId="54" fillId="0" borderId="0" xfId="0" applyFont="1" applyAlignment="1">
      <alignment horizontal="center"/>
    </xf>
    <xf numFmtId="0" fontId="50" fillId="0" borderId="5" xfId="0" applyFont="1" applyBorder="1" applyAlignment="1">
      <alignment horizontal="center"/>
    </xf>
    <xf numFmtId="164" fontId="19" fillId="0" borderId="5" xfId="0" applyNumberFormat="1" applyFont="1" applyBorder="1"/>
    <xf numFmtId="0" fontId="19" fillId="0" borderId="6" xfId="0" applyFont="1" applyBorder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46" fillId="0" borderId="9" xfId="0" applyFont="1" applyBorder="1"/>
    <xf numFmtId="9" fontId="46" fillId="0" borderId="11" xfId="0" applyNumberFormat="1" applyFont="1" applyBorder="1"/>
    <xf numFmtId="0" fontId="46" fillId="0" borderId="8" xfId="0" applyFont="1" applyBorder="1"/>
    <xf numFmtId="0" fontId="46" fillId="0" borderId="14" xfId="0" applyFont="1" applyBorder="1"/>
    <xf numFmtId="2" fontId="0" fillId="8" borderId="0" xfId="0" applyNumberFormat="1" applyFill="1"/>
    <xf numFmtId="0" fontId="0" fillId="0" borderId="5" xfId="0" applyNumberFormat="1" applyBorder="1"/>
    <xf numFmtId="0" fontId="0" fillId="0" borderId="9" xfId="0" applyNumberFormat="1" applyBorder="1"/>
    <xf numFmtId="0" fontId="0" fillId="0" borderId="12" xfId="0" applyNumberFormat="1" applyFill="1" applyBorder="1"/>
    <xf numFmtId="0" fontId="0" fillId="0" borderId="12" xfId="0" applyNumberFormat="1" applyBorder="1"/>
    <xf numFmtId="0" fontId="0" fillId="0" borderId="8" xfId="0" applyNumberFormat="1" applyBorder="1"/>
    <xf numFmtId="0" fontId="16" fillId="0" borderId="5" xfId="0" applyFont="1" applyBorder="1" applyAlignment="1" applyProtection="1">
      <alignment horizontal="left"/>
      <protection locked="0"/>
    </xf>
    <xf numFmtId="0" fontId="16" fillId="0" borderId="6" xfId="0" applyFont="1" applyBorder="1" applyAlignment="1" applyProtection="1">
      <alignment horizontal="left"/>
      <protection locked="0"/>
    </xf>
    <xf numFmtId="0" fontId="16" fillId="0" borderId="5" xfId="0" applyNumberFormat="1" applyFont="1" applyBorder="1" applyAlignment="1" applyProtection="1">
      <alignment horizontal="center"/>
      <protection locked="0"/>
    </xf>
    <xf numFmtId="0" fontId="17" fillId="0" borderId="6" xfId="0" applyNumberFormat="1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14" fontId="16" fillId="0" borderId="8" xfId="0" applyNumberFormat="1" applyFont="1" applyBorder="1" applyAlignment="1" applyProtection="1">
      <alignment horizontal="center"/>
      <protection locked="0"/>
    </xf>
    <xf numFmtId="0" fontId="17" fillId="0" borderId="14" xfId="0" applyFont="1" applyBorder="1" applyAlignment="1" applyProtection="1">
      <alignment horizontal="center"/>
      <protection locked="0"/>
    </xf>
    <xf numFmtId="14" fontId="16" fillId="0" borderId="5" xfId="0" applyNumberFormat="1" applyFont="1" applyBorder="1" applyAlignment="1" applyProtection="1">
      <alignment horizontal="center"/>
      <protection locked="0"/>
    </xf>
    <xf numFmtId="0" fontId="17" fillId="0" borderId="6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protection locked="0"/>
    </xf>
    <xf numFmtId="0" fontId="5" fillId="0" borderId="6" xfId="0" applyFont="1" applyBorder="1" applyAlignment="1" applyProtection="1"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protection locked="0"/>
    </xf>
    <xf numFmtId="0" fontId="7" fillId="0" borderId="9" xfId="0" applyFont="1" applyBorder="1" applyAlignment="1" applyProtection="1">
      <alignment vertical="top" wrapText="1"/>
      <protection locked="0"/>
    </xf>
    <xf numFmtId="0" fontId="7" fillId="0" borderId="10" xfId="0" applyFont="1" applyBorder="1" applyAlignment="1" applyProtection="1">
      <alignment vertical="top" wrapText="1"/>
      <protection locked="0"/>
    </xf>
    <xf numFmtId="0" fontId="7" fillId="0" borderId="11" xfId="0" applyFont="1" applyBorder="1" applyAlignment="1" applyProtection="1">
      <alignment vertical="top" wrapText="1"/>
      <protection locked="0"/>
    </xf>
    <xf numFmtId="0" fontId="7" fillId="0" borderId="12" xfId="0" applyFont="1" applyBorder="1" applyAlignment="1" applyProtection="1">
      <alignment vertical="top" wrapText="1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7" fillId="0" borderId="13" xfId="0" applyFont="1" applyBorder="1" applyAlignment="1" applyProtection="1">
      <alignment vertical="top" wrapText="1"/>
      <protection locked="0"/>
    </xf>
    <xf numFmtId="0" fontId="7" fillId="0" borderId="8" xfId="0" applyFont="1" applyBorder="1" applyAlignment="1" applyProtection="1">
      <alignment vertical="top" wrapText="1"/>
      <protection locked="0"/>
    </xf>
    <xf numFmtId="0" fontId="7" fillId="0" borderId="4" xfId="0" applyFont="1" applyBorder="1" applyAlignment="1" applyProtection="1">
      <alignment vertical="top" wrapText="1"/>
      <protection locked="0"/>
    </xf>
    <xf numFmtId="0" fontId="7" fillId="0" borderId="14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25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</cellXfs>
  <cellStyles count="3">
    <cellStyle name="40% - Accent3" xfId="1" builtinId="39"/>
    <cellStyle name="40% - Accent6" xfId="2" builtinId="51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249977111117893"/>
        <name val="Arial Narrow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249977111117893"/>
        <name val="Arial Narrow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249977111117893"/>
        <name val="Arial Narrow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249977111117893"/>
        <name val="Arial Narrow"/>
        <scheme val="none"/>
      </font>
      <numFmt numFmtId="2" formatCode="0.0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249977111117893"/>
        <name val="Arial Narrow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249977111117893"/>
        <name val="Arial Narrow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249977111117893"/>
        <name val="Arial Narrow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55"/>
        <name val="Arial Narrow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249977111117893"/>
        <name val="Arial Narrow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249977111117893"/>
        <name val="Arial Narrow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249977111117893"/>
        <name val="Arial Narrow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 tint="-0.249977111117893"/>
        <name val="Arial Narrow"/>
        <scheme val="none"/>
      </font>
      <protection locked="1" hidden="0"/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5" tint="-0.24994659260841701"/>
      </font>
    </dxf>
    <dxf>
      <font>
        <color rgb="FF00B050"/>
      </font>
    </dxf>
    <dxf>
      <fill>
        <patternFill>
          <bgColor theme="5" tint="0.59996337778862885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1</xdr:col>
      <xdr:colOff>1362075</xdr:colOff>
      <xdr:row>3</xdr:row>
      <xdr:rowOff>0</xdr:rowOff>
    </xdr:to>
    <xdr:pic>
      <xdr:nvPicPr>
        <xdr:cNvPr id="10453" name="Picture 88" descr="logosmall">
          <a:extLst>
            <a:ext uri="{FF2B5EF4-FFF2-40B4-BE49-F238E27FC236}">
              <a16:creationId xmlns:a16="http://schemas.microsoft.com/office/drawing/2014/main" id="{00000000-0008-0000-0000-0000D5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8192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657224</xdr:colOff>
      <xdr:row>37</xdr:row>
      <xdr:rowOff>56609</xdr:rowOff>
    </xdr:from>
    <xdr:to>
      <xdr:col>7</xdr:col>
      <xdr:colOff>541019</xdr:colOff>
      <xdr:row>48</xdr:row>
      <xdr:rowOff>9525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6667499" y="7343234"/>
          <a:ext cx="1274445" cy="20484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LCHD requires 18" vertical separation from seasonal water table.  Soil depth</a:t>
          </a:r>
          <a:r>
            <a:rPr lang="en-US" sz="1100" baseline="0"/>
            <a:t> credits may be used to reduce this.</a:t>
          </a:r>
          <a:endParaRPr lang="en-US" sz="1100"/>
        </a:p>
        <a:p>
          <a:pPr>
            <a:lnSpc>
              <a:spcPts val="1200"/>
            </a:lnSpc>
          </a:pPr>
          <a:r>
            <a:rPr lang="en-US" sz="1100"/>
            <a:t>A minimum</a:t>
          </a:r>
          <a:r>
            <a:rPr lang="en-US" sz="1100" baseline="0"/>
            <a:t> or </a:t>
          </a:r>
          <a:r>
            <a:rPr lang="en-US" sz="1100"/>
            <a:t>6" of in situ unsturated </a:t>
          </a:r>
          <a:r>
            <a:rPr lang="en-US" sz="1100" baseline="0"/>
            <a:t>soil must be available for treatment.</a:t>
          </a:r>
          <a:endParaRPr lang="en-US" sz="1100"/>
        </a:p>
      </xdr:txBody>
    </xdr:sp>
    <xdr:clientData/>
  </xdr:twoCellAnchor>
  <xdr:oneCellAnchor>
    <xdr:from>
      <xdr:col>4</xdr:col>
      <xdr:colOff>181429</xdr:colOff>
      <xdr:row>72</xdr:row>
      <xdr:rowOff>26911</xdr:rowOff>
    </xdr:from>
    <xdr:ext cx="2669427" cy="185466"/>
    <xdr:sp macro="" textlink="">
      <xdr:nvSpPr>
        <xdr:cNvPr id="54" name="Text Box 4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4858204" y="9447136"/>
          <a:ext cx="2651880" cy="16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Cover</a:t>
          </a:r>
          <a:r>
            <a:rPr lang="en-US" sz="1000" b="1" i="0" strike="noStrike" baseline="0">
              <a:solidFill>
                <a:srgbClr val="000000"/>
              </a:solidFill>
              <a:latin typeface="Arial"/>
              <a:cs typeface="Arial"/>
            </a:rPr>
            <a:t> aggregate with at least </a:t>
          </a: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6" of topsoil </a:t>
          </a:r>
        </a:p>
      </xdr:txBody>
    </xdr:sp>
    <xdr:clientData/>
  </xdr:oneCellAnchor>
  <xdr:twoCellAnchor editAs="oneCell">
    <xdr:from>
      <xdr:col>2</xdr:col>
      <xdr:colOff>1352278</xdr:colOff>
      <xdr:row>77</xdr:row>
      <xdr:rowOff>186418</xdr:rowOff>
    </xdr:from>
    <xdr:to>
      <xdr:col>4</xdr:col>
      <xdr:colOff>2661</xdr:colOff>
      <xdr:row>78</xdr:row>
      <xdr:rowOff>182488</xdr:rowOff>
    </xdr:to>
    <xdr:sp macro="" textlink="">
      <xdr:nvSpPr>
        <xdr:cNvPr id="55" name="Text Box 10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3554458" y="15700738"/>
          <a:ext cx="1582178" cy="186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" depth to limiting layer</a:t>
          </a:r>
        </a:p>
      </xdr:txBody>
    </xdr:sp>
    <xdr:clientData/>
  </xdr:twoCellAnchor>
  <xdr:twoCellAnchor>
    <xdr:from>
      <xdr:col>2</xdr:col>
      <xdr:colOff>342900</xdr:colOff>
      <xdr:row>72</xdr:row>
      <xdr:rowOff>81644</xdr:rowOff>
    </xdr:from>
    <xdr:to>
      <xdr:col>6</xdr:col>
      <xdr:colOff>333375</xdr:colOff>
      <xdr:row>79</xdr:row>
      <xdr:rowOff>8663</xdr:rowOff>
    </xdr:to>
    <xdr:grpSp>
      <xdr:nvGrpSpPr>
        <xdr:cNvPr id="10457" name="Group 57">
          <a:extLst>
            <a:ext uri="{FF2B5EF4-FFF2-40B4-BE49-F238E27FC236}">
              <a16:creationId xmlns:a16="http://schemas.microsoft.com/office/drawing/2014/main" id="{00000000-0008-0000-0000-0000D9280000}"/>
            </a:ext>
          </a:extLst>
        </xdr:cNvPr>
        <xdr:cNvGrpSpPr>
          <a:grpSpLocks/>
        </xdr:cNvGrpSpPr>
      </xdr:nvGrpSpPr>
      <xdr:grpSpPr bwMode="auto">
        <a:xfrm>
          <a:off x="2486025" y="14845394"/>
          <a:ext cx="4657725" cy="1289094"/>
          <a:chOff x="2504024" y="8946400"/>
          <a:chExt cx="4573051" cy="1129126"/>
        </a:xfrm>
      </xdr:grpSpPr>
      <xdr:sp macro="" textlink="">
        <xdr:nvSpPr>
          <xdr:cNvPr id="10492" name="Rectangle 55">
            <a:extLst>
              <a:ext uri="{FF2B5EF4-FFF2-40B4-BE49-F238E27FC236}">
                <a16:creationId xmlns:a16="http://schemas.microsoft.com/office/drawing/2014/main" id="{00000000-0008-0000-0000-0000FC280000}"/>
              </a:ext>
            </a:extLst>
          </xdr:cNvPr>
          <xdr:cNvSpPr>
            <a:spLocks noChangeArrowheads="1"/>
          </xdr:cNvSpPr>
        </xdr:nvSpPr>
        <xdr:spPr bwMode="auto">
          <a:xfrm>
            <a:off x="3343275" y="9086850"/>
            <a:ext cx="790575" cy="571500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93" name="Oval 56">
            <a:extLst>
              <a:ext uri="{FF2B5EF4-FFF2-40B4-BE49-F238E27FC236}">
                <a16:creationId xmlns:a16="http://schemas.microsoft.com/office/drawing/2014/main" id="{00000000-0008-0000-0000-0000FD280000}"/>
              </a:ext>
            </a:extLst>
          </xdr:cNvPr>
          <xdr:cNvSpPr>
            <a:spLocks noChangeArrowheads="1"/>
          </xdr:cNvSpPr>
        </xdr:nvSpPr>
        <xdr:spPr bwMode="auto">
          <a:xfrm>
            <a:off x="3668116" y="9313626"/>
            <a:ext cx="152400" cy="152400"/>
          </a:xfrm>
          <a:prstGeom prst="ellipse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round/>
            <a:headEnd/>
            <a:tailEnd/>
          </a:ln>
        </xdr:spPr>
      </xdr:sp>
      <xdr:cxnSp macro="">
        <xdr:nvCxnSpPr>
          <xdr:cNvPr id="10494" name="Straight Arrow Connector 57">
            <a:extLst>
              <a:ext uri="{FF2B5EF4-FFF2-40B4-BE49-F238E27FC236}">
                <a16:creationId xmlns:a16="http://schemas.microsoft.com/office/drawing/2014/main" id="{00000000-0008-0000-0000-0000FE28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4105275" y="9383268"/>
            <a:ext cx="571500" cy="1588"/>
          </a:xfrm>
          <a:prstGeom prst="straightConnector1">
            <a:avLst/>
          </a:prstGeom>
          <a:noFill/>
          <a:ln w="9525" algn="ctr">
            <a:solidFill>
              <a:srgbClr val="000000"/>
            </a:solidFill>
            <a:round/>
            <a:headEnd type="arrow" w="med" len="med"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495" name="Straight Arrow Connector 58">
            <a:extLst>
              <a:ext uri="{FF2B5EF4-FFF2-40B4-BE49-F238E27FC236}">
                <a16:creationId xmlns:a16="http://schemas.microsoft.com/office/drawing/2014/main" id="{00000000-0008-0000-0000-0000FF28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3328896" y="8946400"/>
            <a:ext cx="800250" cy="5967"/>
          </a:xfrm>
          <a:prstGeom prst="straightConnector1">
            <a:avLst/>
          </a:prstGeom>
          <a:noFill/>
          <a:ln w="9525" algn="ctr">
            <a:solidFill>
              <a:srgbClr val="000000"/>
            </a:solidFill>
            <a:round/>
            <a:headEnd type="arrow" w="med" len="med"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496" name="Straight Arrow Connector 59">
            <a:extLst>
              <a:ext uri="{FF2B5EF4-FFF2-40B4-BE49-F238E27FC236}">
                <a16:creationId xmlns:a16="http://schemas.microsoft.com/office/drawing/2014/main" id="{00000000-0008-0000-0000-00000029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3072720" y="9079942"/>
            <a:ext cx="1" cy="995584"/>
          </a:xfrm>
          <a:prstGeom prst="straightConnector1">
            <a:avLst/>
          </a:prstGeom>
          <a:noFill/>
          <a:ln w="9525" algn="ctr">
            <a:solidFill>
              <a:srgbClr val="000000"/>
            </a:solidFill>
            <a:round/>
            <a:headEnd type="arrow" w="med" len="med"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497" name="Straight Connector 60">
            <a:extLst>
              <a:ext uri="{FF2B5EF4-FFF2-40B4-BE49-F238E27FC236}">
                <a16:creationId xmlns:a16="http://schemas.microsoft.com/office/drawing/2014/main" id="{00000000-0008-0000-0000-00000129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504024" y="9065602"/>
            <a:ext cx="4532849" cy="1466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498" name="Straight Connector 61">
            <a:extLst>
              <a:ext uri="{FF2B5EF4-FFF2-40B4-BE49-F238E27FC236}">
                <a16:creationId xmlns:a16="http://schemas.microsoft.com/office/drawing/2014/main" id="{00000000-0008-0000-0000-00000229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524125" y="10067925"/>
            <a:ext cx="4552950" cy="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1" displayName="List1" ref="B2:K48" totalsRowShown="0" headerRowDxfId="11" dataDxfId="10">
  <tableColumns count="10">
    <tableColumn id="1" xr3:uid="{00000000-0010-0000-0000-000001000000}" name="Restriction" dataDxfId="9"/>
    <tableColumn id="2" xr3:uid="{00000000-0010-0000-0000-000002000000}" name="Depth Required" dataDxfId="8"/>
    <tableColumn id="10" xr3:uid="{00000000-0010-0000-0000-00000A000000}" name="In Situ soil" dataDxfId="7"/>
    <tableColumn id="3" xr3:uid="{00000000-0010-0000-0000-000003000000}" name="Slope" dataDxfId="6"/>
    <tableColumn id="4" xr3:uid="{00000000-0010-0000-0000-000004000000}" name="Value" dataDxfId="5"/>
    <tableColumn id="5" xr3:uid="{00000000-0010-0000-0000-000005000000}" name="Grade" dataDxfId="4"/>
    <tableColumn id="7" xr3:uid="{00000000-0010-0000-0000-000007000000}" name="SFLR" dataDxfId="3"/>
    <tableColumn id="6" xr3:uid="{00000000-0010-0000-0000-000006000000}" name="Shape" dataDxfId="2"/>
    <tableColumn id="8" xr3:uid="{00000000-0010-0000-0000-000008000000}" name="Credit" dataDxfId="1"/>
    <tableColumn id="9" xr3:uid="{00000000-0010-0000-0000-000009000000}" name="Column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2"/>
  <sheetViews>
    <sheetView showGridLines="0" tabSelected="1" showRuler="0" zoomScaleNormal="100" zoomScaleSheetLayoutView="100" zoomScalePageLayoutView="110" workbookViewId="0">
      <selection activeCell="H99" sqref="H99"/>
    </sheetView>
  </sheetViews>
  <sheetFormatPr defaultColWidth="9.140625" defaultRowHeight="12.75" x14ac:dyDescent="0.2"/>
  <cols>
    <col min="1" max="1" width="7.5703125" style="1" customWidth="1"/>
    <col min="2" max="2" width="24.5703125" style="2" customWidth="1"/>
    <col min="3" max="3" width="20.7109375" style="2" customWidth="1"/>
    <col min="4" max="4" width="22.5703125" style="2" customWidth="1"/>
    <col min="5" max="5" width="14.7109375" style="2" customWidth="1"/>
    <col min="6" max="6" width="12" style="2" customWidth="1"/>
    <col min="7" max="7" width="8.85546875" style="2" customWidth="1"/>
    <col min="8" max="8" width="9.140625" style="2" customWidth="1"/>
    <col min="9" max="9" width="3.42578125" style="2" customWidth="1"/>
    <col min="10" max="10" width="5.42578125" style="2" customWidth="1"/>
    <col min="11" max="16384" width="9.140625" style="2"/>
  </cols>
  <sheetData>
    <row r="1" spans="1:10" ht="15.75" customHeight="1" x14ac:dyDescent="0.2">
      <c r="I1" s="3"/>
    </row>
    <row r="2" spans="1:10" ht="17.25" customHeight="1" x14ac:dyDescent="0.3">
      <c r="C2" s="5" t="s">
        <v>62</v>
      </c>
      <c r="H2" s="4"/>
    </row>
    <row r="3" spans="1:10" s="6" customFormat="1" ht="35.25" customHeight="1" x14ac:dyDescent="0.3">
      <c r="C3" s="58" t="s">
        <v>94</v>
      </c>
    </row>
    <row r="4" spans="1:10" ht="15.75" x14ac:dyDescent="0.25">
      <c r="B4" s="41" t="s">
        <v>36</v>
      </c>
      <c r="C4" s="211" t="s">
        <v>263</v>
      </c>
      <c r="D4" s="212"/>
      <c r="E4" s="151" t="s">
        <v>236</v>
      </c>
      <c r="F4" s="213">
        <v>1</v>
      </c>
      <c r="G4" s="214"/>
    </row>
    <row r="5" spans="1:10" s="10" customFormat="1" ht="16.5" customHeight="1" x14ac:dyDescent="0.3">
      <c r="A5" s="34"/>
      <c r="B5" s="50" t="s">
        <v>39</v>
      </c>
      <c r="C5" s="211" t="s">
        <v>119</v>
      </c>
      <c r="D5" s="212"/>
      <c r="E5" s="152" t="s">
        <v>37</v>
      </c>
      <c r="F5" s="218">
        <v>42444</v>
      </c>
      <c r="G5" s="219"/>
      <c r="H5" s="2"/>
      <c r="I5" s="2"/>
      <c r="J5" s="2"/>
    </row>
    <row r="6" spans="1:10" ht="16.5" x14ac:dyDescent="0.3">
      <c r="A6" s="34"/>
      <c r="B6" s="50" t="s">
        <v>38</v>
      </c>
      <c r="C6" s="211" t="s">
        <v>265</v>
      </c>
      <c r="D6" s="212"/>
      <c r="E6" s="153" t="s">
        <v>40</v>
      </c>
      <c r="F6" s="220" t="s">
        <v>264</v>
      </c>
      <c r="G6" s="221"/>
      <c r="J6" s="10"/>
    </row>
    <row r="7" spans="1:10" ht="16.5" x14ac:dyDescent="0.3">
      <c r="A7" s="34"/>
      <c r="B7" s="96" t="s">
        <v>60</v>
      </c>
      <c r="C7" s="15"/>
      <c r="D7" s="15"/>
      <c r="E7" s="51"/>
      <c r="F7" s="15"/>
      <c r="G7" s="15"/>
      <c r="J7" s="10"/>
    </row>
    <row r="8" spans="1:10" ht="16.5" x14ac:dyDescent="0.3">
      <c r="A8" s="7" t="s">
        <v>4</v>
      </c>
      <c r="B8" s="34" t="s">
        <v>5</v>
      </c>
      <c r="C8" s="8"/>
      <c r="D8" s="8"/>
      <c r="E8" s="8"/>
      <c r="F8" s="8"/>
      <c r="G8" s="8"/>
      <c r="H8" s="10"/>
      <c r="I8" s="10"/>
    </row>
    <row r="9" spans="1:10" s="10" customFormat="1" ht="16.5" x14ac:dyDescent="0.3">
      <c r="A9" s="7"/>
      <c r="B9" s="106" t="s">
        <v>17</v>
      </c>
      <c r="C9" s="8"/>
      <c r="D9" s="8"/>
      <c r="E9" s="125">
        <v>3</v>
      </c>
      <c r="F9" s="106" t="s">
        <v>167</v>
      </c>
      <c r="G9" s="8"/>
      <c r="J9" s="2"/>
    </row>
    <row r="10" spans="1:10" ht="16.5" x14ac:dyDescent="0.3">
      <c r="A10" s="12"/>
      <c r="B10" s="105" t="s">
        <v>18</v>
      </c>
      <c r="E10" s="126">
        <f>E9*120</f>
        <v>360</v>
      </c>
      <c r="F10" s="106" t="s">
        <v>19</v>
      </c>
      <c r="G10" s="13"/>
    </row>
    <row r="11" spans="1:10" ht="16.5" x14ac:dyDescent="0.3">
      <c r="A11" s="12"/>
      <c r="B11" s="106" t="s">
        <v>26</v>
      </c>
      <c r="E11" s="125"/>
      <c r="F11" s="106" t="s">
        <v>6</v>
      </c>
      <c r="G11" s="36">
        <f>MAX(E10,E11)</f>
        <v>360</v>
      </c>
      <c r="I11" s="13"/>
    </row>
    <row r="12" spans="1:10" x14ac:dyDescent="0.2">
      <c r="A12" s="12"/>
      <c r="B12" s="13"/>
      <c r="E12" s="15"/>
      <c r="F12" s="13"/>
      <c r="G12" s="13"/>
      <c r="H12" s="15"/>
      <c r="I12" s="13"/>
      <c r="J12" s="10"/>
    </row>
    <row r="13" spans="1:10" s="10" customFormat="1" ht="16.5" x14ac:dyDescent="0.3">
      <c r="A13" s="7" t="s">
        <v>9</v>
      </c>
      <c r="B13" s="34" t="s">
        <v>7</v>
      </c>
      <c r="C13" s="34"/>
      <c r="D13" s="34"/>
      <c r="E13" s="34"/>
      <c r="F13" s="8"/>
      <c r="G13" s="8"/>
      <c r="H13" s="2"/>
      <c r="I13" s="2"/>
      <c r="J13" s="2"/>
    </row>
    <row r="14" spans="1:10" s="10" customFormat="1" ht="14.25" customHeight="1" x14ac:dyDescent="0.3">
      <c r="A14" s="12"/>
      <c r="B14" s="106" t="s">
        <v>8</v>
      </c>
      <c r="C14" s="106"/>
      <c r="D14" s="106"/>
      <c r="E14" s="125">
        <v>1500</v>
      </c>
      <c r="F14" s="106" t="s">
        <v>201</v>
      </c>
      <c r="G14" s="13"/>
      <c r="J14" s="2"/>
    </row>
    <row r="15" spans="1:10" s="10" customFormat="1" ht="16.5" x14ac:dyDescent="0.3">
      <c r="A15" s="12"/>
      <c r="B15" s="106" t="s">
        <v>16</v>
      </c>
      <c r="C15" s="106"/>
      <c r="D15" s="127"/>
      <c r="E15" s="125"/>
      <c r="F15" s="13"/>
      <c r="G15" s="13"/>
      <c r="H15" s="2"/>
      <c r="I15" s="2"/>
      <c r="J15" s="2"/>
    </row>
    <row r="16" spans="1:10" s="10" customFormat="1" ht="16.5" x14ac:dyDescent="0.3">
      <c r="A16" s="12"/>
      <c r="B16" s="105" t="s">
        <v>84</v>
      </c>
      <c r="C16" s="68" t="s">
        <v>58</v>
      </c>
      <c r="D16" s="128" t="s">
        <v>92</v>
      </c>
      <c r="E16" s="125"/>
      <c r="F16" s="2"/>
      <c r="G16" s="2"/>
      <c r="H16" s="2"/>
      <c r="I16" s="2"/>
    </row>
    <row r="17" spans="1:10" s="10" customFormat="1" ht="12.75" customHeight="1" x14ac:dyDescent="0.2">
      <c r="B17" s="2"/>
      <c r="C17" s="2"/>
      <c r="D17" s="2"/>
      <c r="E17" s="2"/>
      <c r="F17" s="21"/>
      <c r="G17" s="2"/>
      <c r="H17" s="2"/>
    </row>
    <row r="18" spans="1:10" s="10" customFormat="1" ht="12" customHeight="1" x14ac:dyDescent="0.2">
      <c r="A18" s="7"/>
      <c r="B18" s="29" t="s">
        <v>230</v>
      </c>
      <c r="C18" s="30"/>
    </row>
    <row r="19" spans="1:10" x14ac:dyDescent="0.2">
      <c r="A19" s="7"/>
      <c r="B19" s="16" t="s">
        <v>10</v>
      </c>
      <c r="C19" s="16" t="s">
        <v>229</v>
      </c>
      <c r="D19" s="10"/>
      <c r="G19" s="10"/>
      <c r="H19" s="10"/>
      <c r="I19" s="10"/>
      <c r="J19" s="10"/>
    </row>
    <row r="20" spans="1:10" ht="14.25" customHeight="1" x14ac:dyDescent="0.2">
      <c r="A20" s="7"/>
      <c r="B20" s="17" t="s">
        <v>11</v>
      </c>
      <c r="C20" s="31">
        <v>1000</v>
      </c>
      <c r="D20" s="10"/>
      <c r="G20" s="10"/>
      <c r="H20" s="10"/>
      <c r="I20" s="10"/>
      <c r="J20" s="10"/>
    </row>
    <row r="21" spans="1:10" x14ac:dyDescent="0.2">
      <c r="A21" s="7"/>
      <c r="B21" s="35">
        <v>3</v>
      </c>
      <c r="C21" s="32">
        <v>1500</v>
      </c>
      <c r="D21" s="10"/>
      <c r="G21" s="10"/>
      <c r="H21" s="10"/>
      <c r="I21" s="10"/>
      <c r="J21" s="10"/>
    </row>
    <row r="22" spans="1:10" x14ac:dyDescent="0.2">
      <c r="A22" s="7"/>
      <c r="B22" s="18" t="s">
        <v>20</v>
      </c>
      <c r="C22" s="32">
        <v>2000</v>
      </c>
      <c r="D22" s="10"/>
      <c r="G22" s="10"/>
      <c r="H22" s="10"/>
      <c r="I22" s="10"/>
    </row>
    <row r="23" spans="1:10" x14ac:dyDescent="0.2">
      <c r="A23" s="10"/>
      <c r="B23" s="19" t="s">
        <v>21</v>
      </c>
      <c r="C23" s="33" t="s">
        <v>22</v>
      </c>
      <c r="D23" s="10"/>
      <c r="G23" s="10"/>
      <c r="H23" s="10"/>
      <c r="I23" s="10"/>
    </row>
    <row r="24" spans="1:10" s="13" customFormat="1" x14ac:dyDescent="0.2">
      <c r="B24" s="10"/>
      <c r="C24" s="10"/>
      <c r="D24" s="10"/>
      <c r="E24" s="10"/>
      <c r="F24" s="10"/>
      <c r="G24" s="10"/>
      <c r="H24" s="10"/>
      <c r="I24" s="2"/>
      <c r="J24" s="2"/>
    </row>
    <row r="25" spans="1:10" ht="15.75" customHeight="1" x14ac:dyDescent="0.3">
      <c r="A25" s="7" t="s">
        <v>12</v>
      </c>
      <c r="B25" s="34" t="s">
        <v>202</v>
      </c>
      <c r="C25" s="125" t="s">
        <v>220</v>
      </c>
      <c r="D25" s="34"/>
      <c r="E25" s="34"/>
      <c r="F25" s="34"/>
      <c r="G25" s="105"/>
    </row>
    <row r="26" spans="1:10" ht="14.25" customHeight="1" x14ac:dyDescent="0.3">
      <c r="A26" s="20"/>
      <c r="B26" s="106" t="s">
        <v>231</v>
      </c>
      <c r="C26" s="146" t="s">
        <v>216</v>
      </c>
      <c r="D26" s="129" t="s">
        <v>41</v>
      </c>
      <c r="E26" s="130">
        <v>58</v>
      </c>
      <c r="F26" s="106" t="s">
        <v>63</v>
      </c>
      <c r="G26" s="106"/>
    </row>
    <row r="27" spans="1:10" s="10" customFormat="1" ht="16.5" x14ac:dyDescent="0.3">
      <c r="A27" s="20"/>
      <c r="B27" s="131" t="s">
        <v>228</v>
      </c>
      <c r="C27" s="125" t="s">
        <v>241</v>
      </c>
      <c r="D27" s="129" t="s">
        <v>64</v>
      </c>
      <c r="E27" s="224" t="s">
        <v>79</v>
      </c>
      <c r="F27" s="225"/>
      <c r="G27" s="106"/>
      <c r="H27" s="2"/>
      <c r="I27" s="2"/>
      <c r="J27" s="13"/>
    </row>
    <row r="28" spans="1:10" ht="14.25" customHeight="1" x14ac:dyDescent="0.3">
      <c r="A28" s="20"/>
      <c r="B28" s="105" t="s">
        <v>24</v>
      </c>
      <c r="C28" s="125" t="s">
        <v>134</v>
      </c>
      <c r="D28" s="129" t="s">
        <v>25</v>
      </c>
      <c r="E28" s="224" t="s">
        <v>46</v>
      </c>
      <c r="F28" s="225"/>
      <c r="G28" s="105"/>
    </row>
    <row r="29" spans="1:10" ht="15" customHeight="1" x14ac:dyDescent="0.3">
      <c r="A29" s="20"/>
      <c r="B29" s="106" t="s">
        <v>163</v>
      </c>
      <c r="C29" s="132">
        <f>tables!H38</f>
        <v>3.4</v>
      </c>
      <c r="D29" s="106" t="s">
        <v>203</v>
      </c>
      <c r="E29" s="105"/>
      <c r="F29" s="105"/>
      <c r="G29" s="106"/>
    </row>
    <row r="30" spans="1:10" ht="18" x14ac:dyDescent="0.3">
      <c r="A30" s="20"/>
      <c r="B30" s="106" t="s">
        <v>148</v>
      </c>
      <c r="C30" s="133">
        <f>IF(C31=lookups!I12,tables!D41,tables!D42)</f>
        <v>0.4</v>
      </c>
      <c r="D30" s="106" t="s">
        <v>204</v>
      </c>
      <c r="E30" s="105"/>
      <c r="F30" s="105"/>
      <c r="G30" s="106"/>
      <c r="J30" s="10"/>
    </row>
    <row r="31" spans="1:10" ht="15.75" customHeight="1" x14ac:dyDescent="0.3">
      <c r="A31" s="20"/>
      <c r="B31" s="105" t="s">
        <v>219</v>
      </c>
      <c r="C31" s="134" t="s">
        <v>161</v>
      </c>
      <c r="D31" s="129" t="s">
        <v>15</v>
      </c>
      <c r="E31" s="134">
        <v>0.01</v>
      </c>
      <c r="F31" s="106"/>
      <c r="G31" s="106"/>
      <c r="I31" s="10"/>
    </row>
    <row r="32" spans="1:10" ht="15.75" customHeight="1" x14ac:dyDescent="0.3">
      <c r="B32" s="105" t="s">
        <v>57</v>
      </c>
      <c r="C32" s="222" t="s">
        <v>58</v>
      </c>
      <c r="D32" s="223"/>
      <c r="E32" s="105" t="s">
        <v>232</v>
      </c>
      <c r="F32" s="106"/>
      <c r="G32" s="149">
        <f>VLOOKUP(C26,lookups!B3:D10,3,FALSE)</f>
        <v>12</v>
      </c>
      <c r="H32" s="2" t="s">
        <v>218</v>
      </c>
    </row>
    <row r="33" spans="1:8" ht="15.75" customHeight="1" x14ac:dyDescent="0.3">
      <c r="B33" s="105" t="s">
        <v>56</v>
      </c>
      <c r="C33" s="135">
        <f>INDEX(lookups!J3:K9,MATCH(C32,lookups!J3:J9,0),2)</f>
        <v>0</v>
      </c>
      <c r="D33" s="129" t="s">
        <v>30</v>
      </c>
      <c r="E33" s="135">
        <f>VLOOKUP(C26,lookups!B3:D10,2,FALSE)</f>
        <v>36</v>
      </c>
      <c r="F33" s="106" t="s">
        <v>174</v>
      </c>
      <c r="G33" s="34"/>
      <c r="H33" s="8"/>
    </row>
    <row r="34" spans="1:8" ht="14.25" customHeight="1" x14ac:dyDescent="0.3">
      <c r="B34" s="105"/>
      <c r="C34" s="136"/>
      <c r="D34" s="129"/>
      <c r="E34" s="136"/>
      <c r="F34" s="106"/>
      <c r="G34" s="34"/>
      <c r="H34" s="8"/>
    </row>
    <row r="35" spans="1:8" ht="15" customHeight="1" x14ac:dyDescent="0.3">
      <c r="A35" s="7" t="s">
        <v>13</v>
      </c>
      <c r="B35" s="34" t="s">
        <v>31</v>
      </c>
      <c r="C35" s="107" t="s">
        <v>176</v>
      </c>
      <c r="D35" s="137" t="s">
        <v>172</v>
      </c>
      <c r="E35" s="138" t="str">
        <f>IF(C31="&lt;25mg/L","   BOD/TSS reduction factor applied",IF(D35=lookups!E26,"25% infiltrative surface reduction applied"," "))</f>
        <v>25% infiltrative surface reduction applied</v>
      </c>
      <c r="F35" s="106"/>
      <c r="G35" s="106"/>
      <c r="H35" s="13"/>
    </row>
    <row r="36" spans="1:8" ht="17.25" customHeight="1" x14ac:dyDescent="0.3">
      <c r="A36" s="67"/>
      <c r="B36" s="107" t="s">
        <v>96</v>
      </c>
      <c r="C36" s="106" t="s">
        <v>173</v>
      </c>
      <c r="D36" s="147">
        <f>IF(C31="&lt;25mg/L",(G11/C30), IF(D35=lookups!E25,(G11/C30),(G11/C30)*0.75))</f>
        <v>675</v>
      </c>
      <c r="E36" s="105" t="s">
        <v>166</v>
      </c>
      <c r="F36" s="135">
        <f>IF(C32=lookups!J5,0,D36*0.25)</f>
        <v>168.75</v>
      </c>
      <c r="G36" s="105"/>
    </row>
    <row r="37" spans="1:8" ht="7.5" customHeight="1" x14ac:dyDescent="0.3">
      <c r="A37" s="67"/>
      <c r="B37" s="107"/>
      <c r="C37" s="106"/>
      <c r="D37" s="136"/>
      <c r="E37" s="105"/>
      <c r="F37" s="136"/>
      <c r="G37" s="105"/>
    </row>
    <row r="38" spans="1:8" ht="15.75" customHeight="1" x14ac:dyDescent="0.3">
      <c r="A38" s="67"/>
      <c r="B38" s="139" t="s">
        <v>179</v>
      </c>
      <c r="C38" s="105" t="s">
        <v>181</v>
      </c>
      <c r="D38" s="100">
        <f>D36+F36</f>
        <v>843.75</v>
      </c>
      <c r="E38" s="140" t="s">
        <v>205</v>
      </c>
      <c r="F38" s="105"/>
      <c r="G38" s="105"/>
    </row>
    <row r="39" spans="1:8" ht="12" customHeight="1" x14ac:dyDescent="0.3">
      <c r="A39" s="67"/>
      <c r="B39" s="107"/>
      <c r="C39" s="141"/>
      <c r="D39" s="142"/>
      <c r="E39" s="143"/>
      <c r="F39" s="136"/>
      <c r="G39" s="105"/>
    </row>
    <row r="40" spans="1:8" ht="16.5" x14ac:dyDescent="0.3">
      <c r="A40" s="7" t="s">
        <v>14</v>
      </c>
      <c r="B40" s="34" t="s">
        <v>59</v>
      </c>
      <c r="C40" s="106" t="s">
        <v>34</v>
      </c>
      <c r="D40" s="100">
        <f>ROUND(G11/C29,0)</f>
        <v>106</v>
      </c>
      <c r="E40" s="140" t="s">
        <v>180</v>
      </c>
      <c r="F40" s="106"/>
      <c r="G40" s="106"/>
      <c r="H40" s="13"/>
    </row>
    <row r="41" spans="1:8" ht="16.5" x14ac:dyDescent="0.3">
      <c r="A41" s="7"/>
      <c r="B41" s="34"/>
      <c r="C41" s="106"/>
      <c r="D41" s="106"/>
      <c r="E41" s="106"/>
      <c r="F41" s="106"/>
      <c r="G41" s="106"/>
      <c r="H41" s="13"/>
    </row>
    <row r="42" spans="1:8" ht="16.5" x14ac:dyDescent="0.3">
      <c r="A42" s="7" t="s">
        <v>23</v>
      </c>
      <c r="B42" s="34" t="s">
        <v>237</v>
      </c>
      <c r="C42" s="105"/>
      <c r="D42" s="148">
        <f>MIN((E26-E33+C33),30,E26-6)</f>
        <v>22</v>
      </c>
      <c r="E42" s="154" t="s">
        <v>238</v>
      </c>
      <c r="F42" s="106"/>
      <c r="G42" s="106"/>
      <c r="H42" s="13"/>
    </row>
    <row r="43" spans="1:8" ht="16.5" x14ac:dyDescent="0.3">
      <c r="A43" s="7"/>
      <c r="B43" s="106" t="s">
        <v>239</v>
      </c>
      <c r="C43" s="106"/>
      <c r="D43" s="125">
        <v>22</v>
      </c>
      <c r="E43" s="106" t="s">
        <v>240</v>
      </c>
      <c r="F43" s="106"/>
      <c r="G43" s="106"/>
      <c r="H43" s="13"/>
    </row>
    <row r="44" spans="1:8" ht="16.5" x14ac:dyDescent="0.3">
      <c r="A44" s="7" t="s">
        <v>27</v>
      </c>
      <c r="B44" s="107" t="s">
        <v>195</v>
      </c>
      <c r="C44" s="105"/>
      <c r="D44" s="100" t="str">
        <f>IF(E26&lt;12,lookups!B33,IF(D42&lt;8,lookups!B33,IF(C26="Seasonal Water",lookups!B34,lookups!B35)))</f>
        <v>Optional</v>
      </c>
      <c r="E44" s="106"/>
      <c r="F44" s="106"/>
      <c r="G44" s="106"/>
      <c r="H44" s="13"/>
    </row>
    <row r="45" spans="1:8" ht="16.5" x14ac:dyDescent="0.3">
      <c r="A45" s="7"/>
      <c r="B45" s="107"/>
      <c r="C45" s="105"/>
      <c r="D45" s="105"/>
      <c r="E45" s="106"/>
      <c r="F45" s="106"/>
      <c r="G45" s="106"/>
      <c r="H45" s="13"/>
    </row>
    <row r="46" spans="1:8" x14ac:dyDescent="0.2">
      <c r="A46" s="7"/>
      <c r="B46" s="10"/>
      <c r="E46" s="13"/>
      <c r="F46" s="13"/>
      <c r="G46" s="13"/>
      <c r="H46" s="13"/>
    </row>
    <row r="47" spans="1:8" x14ac:dyDescent="0.2">
      <c r="A47" s="7"/>
      <c r="B47" s="10"/>
      <c r="E47" s="13"/>
      <c r="F47" s="13"/>
      <c r="G47" s="13"/>
      <c r="H47" s="13"/>
    </row>
    <row r="48" spans="1:8" x14ac:dyDescent="0.2">
      <c r="A48" s="7"/>
      <c r="B48" s="10"/>
      <c r="E48" s="13"/>
      <c r="F48" s="13"/>
      <c r="G48" s="13"/>
      <c r="H48" s="13"/>
    </row>
    <row r="49" spans="1:10" x14ac:dyDescent="0.2">
      <c r="A49" s="7"/>
      <c r="B49" s="8"/>
      <c r="C49" s="13"/>
      <c r="D49" s="13"/>
      <c r="E49" s="13"/>
      <c r="F49" s="13"/>
      <c r="G49" s="13"/>
      <c r="H49" s="13"/>
    </row>
    <row r="50" spans="1:10" x14ac:dyDescent="0.2">
      <c r="A50" s="7"/>
      <c r="B50" s="8"/>
      <c r="C50" s="13"/>
      <c r="D50" s="13"/>
      <c r="E50" s="13"/>
      <c r="F50" s="13"/>
      <c r="G50" s="13"/>
      <c r="H50" s="13"/>
    </row>
    <row r="51" spans="1:10" x14ac:dyDescent="0.2">
      <c r="A51" s="7"/>
      <c r="B51" s="8"/>
      <c r="C51" s="13"/>
      <c r="D51" s="13"/>
      <c r="E51" s="13"/>
      <c r="F51" s="13"/>
      <c r="G51" s="13"/>
      <c r="H51" s="13"/>
    </row>
    <row r="52" spans="1:10" ht="21.75" customHeight="1" x14ac:dyDescent="0.2">
      <c r="A52" s="7"/>
      <c r="B52" s="8"/>
      <c r="C52" s="13"/>
      <c r="D52" s="13"/>
      <c r="E52" s="13"/>
      <c r="F52" s="13"/>
      <c r="G52" s="13"/>
      <c r="H52" s="13"/>
    </row>
    <row r="53" spans="1:10" ht="18.75" customHeight="1" x14ac:dyDescent="0.25">
      <c r="A53" s="102" t="s">
        <v>182</v>
      </c>
      <c r="E53" s="118" t="s">
        <v>200</v>
      </c>
      <c r="F53" s="117"/>
      <c r="G53" s="118"/>
      <c r="H53" s="119"/>
    </row>
    <row r="54" spans="1:10" s="105" customFormat="1" ht="24" customHeight="1" x14ac:dyDescent="0.3">
      <c r="A54" s="115" t="str">
        <f>C4</f>
        <v>105 Sunset Drive, Newark OH</v>
      </c>
      <c r="E54" s="118" t="s">
        <v>184</v>
      </c>
      <c r="F54" s="120">
        <f>D36</f>
        <v>675</v>
      </c>
      <c r="G54" s="121" t="s">
        <v>186</v>
      </c>
      <c r="H54" s="122"/>
    </row>
    <row r="55" spans="1:10" s="105" customFormat="1" ht="24" customHeight="1" x14ac:dyDescent="0.3">
      <c r="A55" s="104" t="s">
        <v>183</v>
      </c>
      <c r="E55" s="118" t="s">
        <v>185</v>
      </c>
      <c r="F55" s="120">
        <f>F36</f>
        <v>168.75</v>
      </c>
      <c r="G55" s="121" t="s">
        <v>186</v>
      </c>
      <c r="H55" s="122"/>
    </row>
    <row r="56" spans="1:10" s="105" customFormat="1" ht="24" customHeight="1" x14ac:dyDescent="0.3">
      <c r="A56" s="104"/>
      <c r="E56" s="118" t="s">
        <v>189</v>
      </c>
      <c r="F56" s="120">
        <f>D38</f>
        <v>843.75</v>
      </c>
      <c r="G56" s="121" t="s">
        <v>186</v>
      </c>
      <c r="H56" s="122"/>
    </row>
    <row r="57" spans="1:10" s="107" customFormat="1" ht="24" customHeight="1" x14ac:dyDescent="0.3">
      <c r="A57" s="106"/>
      <c r="B57" s="106"/>
      <c r="C57" s="144" t="s">
        <v>190</v>
      </c>
      <c r="D57" s="106"/>
      <c r="E57" s="118" t="s">
        <v>188</v>
      </c>
      <c r="F57" s="120">
        <f>D40</f>
        <v>106</v>
      </c>
      <c r="G57" s="121" t="s">
        <v>187</v>
      </c>
      <c r="H57" s="122"/>
      <c r="J57" s="105"/>
    </row>
    <row r="58" spans="1:10" s="107" customFormat="1" ht="24" customHeight="1" x14ac:dyDescent="0.3">
      <c r="A58" s="104" t="s">
        <v>196</v>
      </c>
      <c r="C58" s="124">
        <v>106</v>
      </c>
      <c r="D58" s="116" t="str">
        <f>IF(F57&gt;C58,"Minimum length not met",IF(C58&gt;150,"Manifold must be placed in center of trenches &gt;150'",""  ))</f>
        <v/>
      </c>
      <c r="J58" s="105"/>
    </row>
    <row r="59" spans="1:10" s="107" customFormat="1" ht="24" customHeight="1" x14ac:dyDescent="0.3">
      <c r="A59" s="104" t="s">
        <v>199</v>
      </c>
      <c r="C59" s="124">
        <v>24</v>
      </c>
      <c r="D59" s="108"/>
      <c r="F59" s="109"/>
      <c r="G59" s="109"/>
      <c r="H59" s="109"/>
      <c r="I59" s="109"/>
      <c r="J59" s="105"/>
    </row>
    <row r="60" spans="1:10" s="107" customFormat="1" ht="24" customHeight="1" x14ac:dyDescent="0.3">
      <c r="A60" s="104" t="s">
        <v>193</v>
      </c>
      <c r="C60" s="124">
        <v>4</v>
      </c>
      <c r="D60" s="110">
        <f>C58*((C59/12)*C60)</f>
        <v>848</v>
      </c>
      <c r="E60" s="123" t="s">
        <v>191</v>
      </c>
      <c r="F60" s="112" t="str">
        <f>IF(D60&lt;F54,"Min area not met"," ")</f>
        <v xml:space="preserve"> </v>
      </c>
      <c r="G60" s="109"/>
      <c r="H60" s="109"/>
      <c r="I60" s="109"/>
      <c r="J60" s="105"/>
    </row>
    <row r="61" spans="1:10" s="107" customFormat="1" ht="24" customHeight="1" x14ac:dyDescent="0.3">
      <c r="A61" s="104" t="s">
        <v>194</v>
      </c>
      <c r="C61" s="124">
        <v>1</v>
      </c>
      <c r="D61" s="110">
        <f>C58*(C59/12)*C61</f>
        <v>212</v>
      </c>
      <c r="E61" s="123" t="s">
        <v>192</v>
      </c>
      <c r="F61" s="112" t="str">
        <f>IF(D61&lt;F55,"Min area not met"," ")</f>
        <v xml:space="preserve"> </v>
      </c>
      <c r="G61" s="109"/>
      <c r="H61" s="109"/>
      <c r="I61" s="109"/>
      <c r="J61" s="105"/>
    </row>
    <row r="62" spans="1:10" s="105" customFormat="1" ht="24" customHeight="1" x14ac:dyDescent="0.3">
      <c r="A62" s="104" t="s">
        <v>197</v>
      </c>
      <c r="B62" s="106"/>
      <c r="C62" s="113">
        <f>D60+D61</f>
        <v>1060</v>
      </c>
      <c r="D62" s="114">
        <f>C62-F56</f>
        <v>216.25</v>
      </c>
      <c r="E62" s="123" t="s">
        <v>198</v>
      </c>
      <c r="F62" s="111"/>
    </row>
    <row r="63" spans="1:10" x14ac:dyDescent="0.2">
      <c r="A63" s="101"/>
      <c r="B63" s="13"/>
      <c r="D63" s="103"/>
      <c r="E63" s="8"/>
      <c r="F63" s="8"/>
    </row>
    <row r="64" spans="1:10" s="10" customFormat="1" x14ac:dyDescent="0.2">
      <c r="A64" s="12"/>
      <c r="C64" s="2"/>
      <c r="D64" s="13"/>
      <c r="F64" s="13"/>
      <c r="G64" s="13"/>
      <c r="H64" s="13"/>
      <c r="I64" s="2"/>
      <c r="J64" s="2"/>
    </row>
    <row r="65" spans="1:10" s="10" customFormat="1" x14ac:dyDescent="0.2">
      <c r="A65" s="12"/>
      <c r="C65" s="2"/>
      <c r="D65" s="13"/>
      <c r="F65" s="13"/>
      <c r="G65" s="13"/>
      <c r="H65" s="13"/>
      <c r="I65" s="2"/>
      <c r="J65" s="2"/>
    </row>
    <row r="66" spans="1:10" s="10" customFormat="1" x14ac:dyDescent="0.2">
      <c r="A66" s="12"/>
      <c r="C66" s="2"/>
      <c r="D66" s="13"/>
      <c r="F66" s="13"/>
      <c r="G66" s="13"/>
      <c r="H66" s="13"/>
      <c r="I66" s="2"/>
      <c r="J66" s="2"/>
    </row>
    <row r="67" spans="1:10" s="10" customFormat="1" x14ac:dyDescent="0.2">
      <c r="A67" s="12"/>
      <c r="C67" s="2"/>
      <c r="D67" s="13"/>
      <c r="F67" s="13"/>
      <c r="G67" s="13"/>
      <c r="H67" s="13"/>
      <c r="I67" s="2"/>
      <c r="J67" s="2"/>
    </row>
    <row r="68" spans="1:10" s="10" customFormat="1" x14ac:dyDescent="0.2">
      <c r="A68" s="12"/>
      <c r="C68" s="2"/>
      <c r="D68" s="13"/>
      <c r="F68" s="13"/>
      <c r="G68" s="13"/>
      <c r="H68" s="13"/>
      <c r="I68" s="2"/>
      <c r="J68" s="2"/>
    </row>
    <row r="69" spans="1:10" s="10" customFormat="1" x14ac:dyDescent="0.2">
      <c r="A69" s="12"/>
      <c r="C69" s="2"/>
      <c r="D69" s="13"/>
      <c r="F69" s="13"/>
      <c r="G69" s="13"/>
      <c r="H69" s="13"/>
      <c r="I69" s="2"/>
      <c r="J69" s="2"/>
    </row>
    <row r="70" spans="1:10" x14ac:dyDescent="0.2">
      <c r="A70" s="12"/>
      <c r="B70" s="13"/>
      <c r="C70" s="13"/>
      <c r="E70" s="42"/>
      <c r="F70" s="8"/>
      <c r="G70" s="13"/>
      <c r="H70" s="13"/>
    </row>
    <row r="71" spans="1:10" ht="14.25" customHeight="1" x14ac:dyDescent="0.25">
      <c r="A71" s="7"/>
      <c r="B71" s="25"/>
      <c r="D71" s="59" t="s">
        <v>150</v>
      </c>
      <c r="E71" s="28"/>
      <c r="F71" s="28"/>
    </row>
    <row r="72" spans="1:10" ht="12.75" customHeight="1" x14ac:dyDescent="0.25">
      <c r="A72" s="12"/>
      <c r="B72" s="28"/>
      <c r="C72" s="57">
        <f>C59</f>
        <v>24</v>
      </c>
      <c r="D72" s="56" t="s">
        <v>61</v>
      </c>
    </row>
    <row r="73" spans="1:10" s="10" customFormat="1" ht="15" customHeight="1" x14ac:dyDescent="0.25">
      <c r="A73" s="12"/>
      <c r="B73" s="2"/>
      <c r="C73" s="2"/>
      <c r="D73" s="2"/>
      <c r="E73" s="28"/>
      <c r="F73" s="2"/>
      <c r="G73" s="2"/>
      <c r="H73" s="2"/>
      <c r="I73" s="2"/>
      <c r="J73" s="2"/>
    </row>
    <row r="74" spans="1:10" ht="15" customHeight="1" x14ac:dyDescent="0.25">
      <c r="A74" s="12"/>
      <c r="B74" s="22" t="s">
        <v>2</v>
      </c>
      <c r="E74" s="28"/>
      <c r="F74" s="28"/>
      <c r="G74" s="23"/>
      <c r="I74" s="10"/>
    </row>
    <row r="75" spans="1:10" ht="15" customHeight="1" x14ac:dyDescent="0.25">
      <c r="A75" s="12"/>
      <c r="B75" s="28"/>
      <c r="C75" s="39"/>
      <c r="D75" s="10"/>
      <c r="E75" s="38"/>
      <c r="F75" s="28"/>
      <c r="I75" s="10"/>
    </row>
    <row r="76" spans="1:10" ht="15" customHeight="1" x14ac:dyDescent="0.2">
      <c r="A76" s="7"/>
      <c r="B76" s="77" t="s">
        <v>151</v>
      </c>
      <c r="C76" s="24"/>
      <c r="D76" s="57">
        <f>D42</f>
        <v>22</v>
      </c>
      <c r="E76" s="40" t="s">
        <v>93</v>
      </c>
      <c r="F76" s="10"/>
    </row>
    <row r="77" spans="1:10" ht="17.25" customHeight="1" x14ac:dyDescent="0.2">
      <c r="A77" s="12"/>
      <c r="E77" s="95" t="str">
        <f>IF(D76&lt;2,lookups!B30," ")</f>
        <v xml:space="preserve"> </v>
      </c>
    </row>
    <row r="78" spans="1:10" ht="15" customHeight="1" x14ac:dyDescent="0.2">
      <c r="A78" s="8"/>
      <c r="D78" s="26"/>
      <c r="E78" s="237" t="str">
        <f>IF(D76&lt;2,lookups!B31," ")</f>
        <v xml:space="preserve"> </v>
      </c>
      <c r="F78" s="237"/>
      <c r="G78" s="237"/>
      <c r="H78" s="237"/>
    </row>
    <row r="79" spans="1:10" ht="15" customHeight="1" x14ac:dyDescent="0.2">
      <c r="A79" s="8"/>
      <c r="B79" s="79" t="s">
        <v>3</v>
      </c>
      <c r="C79" s="78">
        <f>E26</f>
        <v>58</v>
      </c>
      <c r="E79" s="237"/>
      <c r="F79" s="237"/>
      <c r="G79" s="237"/>
      <c r="H79" s="237"/>
      <c r="I79" s="10"/>
    </row>
    <row r="80" spans="1:10" ht="15" customHeight="1" x14ac:dyDescent="0.2">
      <c r="A80" s="8"/>
      <c r="B80" s="24"/>
      <c r="C80" s="2" t="s">
        <v>149</v>
      </c>
      <c r="G80" s="38"/>
    </row>
    <row r="81" spans="1:9" ht="15" customHeight="1" x14ac:dyDescent="0.2">
      <c r="A81" s="8"/>
      <c r="B81" s="24"/>
      <c r="G81" s="38"/>
    </row>
    <row r="82" spans="1:9" ht="15" customHeight="1" x14ac:dyDescent="0.25">
      <c r="A82" s="27"/>
      <c r="B82" s="23" t="s">
        <v>0</v>
      </c>
    </row>
    <row r="83" spans="1:9" ht="15" customHeight="1" x14ac:dyDescent="0.25">
      <c r="A83" s="27"/>
      <c r="B83" s="226" t="s">
        <v>207</v>
      </c>
      <c r="C83" s="227"/>
      <c r="D83" s="227"/>
      <c r="E83" s="227"/>
      <c r="F83" s="227"/>
      <c r="G83" s="227"/>
      <c r="H83" s="228"/>
      <c r="I83" s="43"/>
    </row>
    <row r="84" spans="1:9" ht="15" customHeight="1" x14ac:dyDescent="0.25">
      <c r="A84" s="27"/>
      <c r="B84" s="229"/>
      <c r="C84" s="230"/>
      <c r="D84" s="230"/>
      <c r="E84" s="230"/>
      <c r="F84" s="230"/>
      <c r="G84" s="230"/>
      <c r="H84" s="231"/>
      <c r="I84" s="43"/>
    </row>
    <row r="85" spans="1:9" ht="15" customHeight="1" x14ac:dyDescent="0.2">
      <c r="A85" s="2"/>
      <c r="B85" s="229"/>
      <c r="C85" s="230"/>
      <c r="D85" s="230"/>
      <c r="E85" s="230"/>
      <c r="F85" s="230"/>
      <c r="G85" s="230"/>
      <c r="H85" s="231"/>
      <c r="I85" s="43"/>
    </row>
    <row r="86" spans="1:9" ht="15" customHeight="1" x14ac:dyDescent="0.2">
      <c r="A86" s="2"/>
      <c r="B86" s="229"/>
      <c r="C86" s="230"/>
      <c r="D86" s="230"/>
      <c r="E86" s="230"/>
      <c r="F86" s="230"/>
      <c r="G86" s="230"/>
      <c r="H86" s="231"/>
      <c r="I86" s="43"/>
    </row>
    <row r="87" spans="1:9" ht="15" customHeight="1" x14ac:dyDescent="0.2">
      <c r="A87" s="2"/>
      <c r="B87" s="229"/>
      <c r="C87" s="230"/>
      <c r="D87" s="230"/>
      <c r="E87" s="230"/>
      <c r="F87" s="230"/>
      <c r="G87" s="230"/>
      <c r="H87" s="231"/>
      <c r="I87" s="43"/>
    </row>
    <row r="88" spans="1:9" ht="15" customHeight="1" x14ac:dyDescent="0.2">
      <c r="A88" s="2"/>
      <c r="B88" s="229"/>
      <c r="C88" s="230"/>
      <c r="D88" s="230"/>
      <c r="E88" s="230"/>
      <c r="F88" s="230"/>
      <c r="G88" s="230"/>
      <c r="H88" s="231"/>
      <c r="I88" s="43"/>
    </row>
    <row r="89" spans="1:9" ht="15" customHeight="1" x14ac:dyDescent="0.2">
      <c r="A89" s="2"/>
      <c r="B89" s="229"/>
      <c r="C89" s="230"/>
      <c r="D89" s="230"/>
      <c r="E89" s="230"/>
      <c r="F89" s="230"/>
      <c r="G89" s="230"/>
      <c r="H89" s="231"/>
      <c r="I89" s="43"/>
    </row>
    <row r="90" spans="1:9" ht="15" customHeight="1" x14ac:dyDescent="0.2">
      <c r="A90" s="2"/>
      <c r="B90" s="232"/>
      <c r="C90" s="233"/>
      <c r="D90" s="233"/>
      <c r="E90" s="233"/>
      <c r="F90" s="233"/>
      <c r="G90" s="233"/>
      <c r="H90" s="234"/>
      <c r="I90" s="43"/>
    </row>
    <row r="91" spans="1:9" ht="21" customHeight="1" x14ac:dyDescent="0.3">
      <c r="A91" s="2"/>
      <c r="B91" s="44" t="s">
        <v>42</v>
      </c>
      <c r="C91" s="215"/>
      <c r="D91" s="216"/>
      <c r="E91" s="217"/>
      <c r="F91" s="44" t="s">
        <v>37</v>
      </c>
      <c r="G91" s="235"/>
      <c r="H91" s="236"/>
      <c r="I91" s="43"/>
    </row>
    <row r="92" spans="1:9" ht="15" customHeight="1" x14ac:dyDescent="0.2">
      <c r="A92" s="2"/>
    </row>
    <row r="93" spans="1:9" ht="15" customHeight="1" x14ac:dyDescent="0.2">
      <c r="A93" s="2"/>
    </row>
    <row r="94" spans="1:9" ht="15" customHeight="1" x14ac:dyDescent="0.2">
      <c r="A94" s="2"/>
    </row>
    <row r="95" spans="1:9" ht="15" customHeight="1" x14ac:dyDescent="0.2">
      <c r="A95" s="2"/>
    </row>
    <row r="96" spans="1:9" ht="15" customHeight="1" x14ac:dyDescent="0.2"/>
    <row r="97" spans="2:10" ht="15" customHeight="1" x14ac:dyDescent="0.2"/>
    <row r="98" spans="2:10" ht="15" customHeight="1" x14ac:dyDescent="0.2"/>
    <row r="99" spans="2:10" ht="15" customHeight="1" x14ac:dyDescent="0.2">
      <c r="B99" s="150" t="s">
        <v>234</v>
      </c>
      <c r="H99" s="150" t="s">
        <v>266</v>
      </c>
    </row>
    <row r="100" spans="2:10" ht="15" customHeight="1" x14ac:dyDescent="0.2">
      <c r="B100" s="150" t="s">
        <v>235</v>
      </c>
      <c r="C100" s="150"/>
      <c r="D100" s="150"/>
    </row>
    <row r="101" spans="2:10" ht="15" customHeight="1" x14ac:dyDescent="0.2"/>
    <row r="102" spans="2:10" ht="15" customHeight="1" x14ac:dyDescent="0.2"/>
    <row r="103" spans="2:10" ht="15" customHeight="1" x14ac:dyDescent="0.2"/>
    <row r="104" spans="2:10" ht="11.1" customHeight="1" x14ac:dyDescent="0.2"/>
    <row r="105" spans="2:10" ht="15" customHeight="1" x14ac:dyDescent="0.2"/>
    <row r="106" spans="2:10" ht="15" customHeight="1" x14ac:dyDescent="0.2"/>
    <row r="107" spans="2:10" ht="13.5" customHeight="1" x14ac:dyDescent="0.2"/>
    <row r="108" spans="2:10" ht="15" customHeight="1" x14ac:dyDescent="0.2"/>
    <row r="109" spans="2:10" ht="14.25" customHeight="1" x14ac:dyDescent="0.2"/>
    <row r="110" spans="2:10" ht="12" customHeight="1" x14ac:dyDescent="0.2"/>
    <row r="111" spans="2:10" ht="11.25" customHeight="1" x14ac:dyDescent="0.2">
      <c r="J111" s="9"/>
    </row>
    <row r="112" spans="2:10" ht="15" customHeight="1" x14ac:dyDescent="0.2">
      <c r="J112" s="11"/>
    </row>
    <row r="113" spans="10:10" ht="12.75" customHeight="1" x14ac:dyDescent="0.2">
      <c r="J113" s="14"/>
    </row>
    <row r="114" spans="10:10" ht="15" customHeight="1" x14ac:dyDescent="0.2">
      <c r="J114" s="14"/>
    </row>
    <row r="115" spans="10:10" ht="11.1" customHeight="1" x14ac:dyDescent="0.2">
      <c r="J115" s="14"/>
    </row>
    <row r="116" spans="10:10" ht="10.5" customHeight="1" x14ac:dyDescent="0.2">
      <c r="J116" s="14"/>
    </row>
    <row r="117" spans="10:10" ht="15" customHeight="1" x14ac:dyDescent="0.2">
      <c r="J117" s="14"/>
    </row>
    <row r="118" spans="10:10" ht="24.75" customHeight="1" x14ac:dyDescent="0.2">
      <c r="J118" s="14"/>
    </row>
    <row r="119" spans="10:10" ht="15" customHeight="1" x14ac:dyDescent="0.2">
      <c r="J119" s="14"/>
    </row>
    <row r="120" spans="10:10" ht="15" customHeight="1" x14ac:dyDescent="0.2">
      <c r="J120" s="14"/>
    </row>
    <row r="121" spans="10:10" ht="15" customHeight="1" x14ac:dyDescent="0.2">
      <c r="J121" s="11"/>
    </row>
    <row r="122" spans="10:10" ht="17.25" customHeight="1" x14ac:dyDescent="0.2">
      <c r="J122" s="11"/>
    </row>
    <row r="123" spans="10:10" ht="17.25" customHeight="1" x14ac:dyDescent="0.2">
      <c r="J123" s="11"/>
    </row>
    <row r="124" spans="10:10" ht="17.25" customHeight="1" x14ac:dyDescent="0.2">
      <c r="J124" s="10"/>
    </row>
    <row r="125" spans="10:10" ht="15" customHeight="1" x14ac:dyDescent="0.2">
      <c r="J125" s="10"/>
    </row>
    <row r="126" spans="10:10" ht="15" customHeight="1" x14ac:dyDescent="0.2">
      <c r="J126" s="10"/>
    </row>
    <row r="127" spans="10:10" x14ac:dyDescent="0.2">
      <c r="J127" s="10"/>
    </row>
    <row r="128" spans="10:10" x14ac:dyDescent="0.2">
      <c r="J128" s="10"/>
    </row>
    <row r="129" spans="10:10" x14ac:dyDescent="0.2">
      <c r="J129" s="10"/>
    </row>
    <row r="130" spans="10:10" ht="29.25" customHeight="1" x14ac:dyDescent="0.2"/>
    <row r="135" spans="10:10" x14ac:dyDescent="0.2">
      <c r="J135" s="13"/>
    </row>
    <row r="138" spans="10:10" x14ac:dyDescent="0.2">
      <c r="J138" s="10"/>
    </row>
    <row r="152" spans="10:10" x14ac:dyDescent="0.2">
      <c r="J152" s="10"/>
    </row>
  </sheetData>
  <sheetProtection algorithmName="SHA-512" hashValue="xJl70N1Sa90xi244js+Z++24HkvUJDzzntUZ038Pqo8od9/DYNO6Dw45lBYQirJJOfXXZsehAJl/Gco/mpukPw==" saltValue="nEUQu5lWR1wryAO425zlNA==" spinCount="100000" sheet="1" objects="1" scenarios="1"/>
  <mergeCells count="13">
    <mergeCell ref="C4:D4"/>
    <mergeCell ref="F4:G4"/>
    <mergeCell ref="C6:D6"/>
    <mergeCell ref="C5:D5"/>
    <mergeCell ref="C91:E91"/>
    <mergeCell ref="F5:G5"/>
    <mergeCell ref="F6:G6"/>
    <mergeCell ref="C32:D32"/>
    <mergeCell ref="E27:F27"/>
    <mergeCell ref="E28:F28"/>
    <mergeCell ref="B83:H90"/>
    <mergeCell ref="G91:H91"/>
    <mergeCell ref="E78:H79"/>
  </mergeCells>
  <phoneticPr fontId="0" type="noConversion"/>
  <conditionalFormatting sqref="D60">
    <cfRule type="expression" dxfId="20" priority="22">
      <formula>$D$60&lt;$F$54</formula>
    </cfRule>
  </conditionalFormatting>
  <conditionalFormatting sqref="C62">
    <cfRule type="cellIs" dxfId="19" priority="10" operator="lessThan">
      <formula>$F$54</formula>
    </cfRule>
  </conditionalFormatting>
  <conditionalFormatting sqref="D61">
    <cfRule type="expression" dxfId="18" priority="9">
      <formula>$D$61&lt;$F$55</formula>
    </cfRule>
  </conditionalFormatting>
  <conditionalFormatting sqref="C58">
    <cfRule type="expression" dxfId="17" priority="27">
      <formula>$F$57&gt;$C$58</formula>
    </cfRule>
  </conditionalFormatting>
  <conditionalFormatting sqref="D62">
    <cfRule type="expression" dxfId="16" priority="7">
      <formula>$D$62&gt;0</formula>
    </cfRule>
    <cfRule type="expression" dxfId="15" priority="8">
      <formula>$D$61&lt;$F$55</formula>
    </cfRule>
  </conditionalFormatting>
  <conditionalFormatting sqref="D43">
    <cfRule type="cellIs" dxfId="14" priority="1" operator="greaterThan">
      <formula>$D$42</formula>
    </cfRule>
  </conditionalFormatting>
  <dataValidations xWindow="328" yWindow="598" count="2">
    <dataValidation type="whole" allowBlank="1" showInputMessage="1" showErrorMessage="1" promptTitle="Depth" prompt="Enter depth to limiting layer in inches" sqref="E26" xr:uid="{00000000-0002-0000-0000-000000000000}">
      <formula1>0</formula1>
      <formula2>72</formula2>
    </dataValidation>
    <dataValidation type="list" allowBlank="1" showInputMessage="1" showErrorMessage="1" sqref="C39" xr:uid="{00000000-0002-0000-0000-000001000000}">
      <formula1>$E$24:$E$26</formula1>
    </dataValidation>
  </dataValidations>
  <pageMargins left="0.4" right="0.4" top="0.4" bottom="0.4" header="0.41" footer="0.22"/>
  <pageSetup scale="77" fitToHeight="2" orientation="portrait" r:id="rId1"/>
  <headerFooter alignWithMargins="0">
    <oddFooter>Page &amp;P of &amp;N</oddFooter>
  </headerFooter>
  <rowBreaks count="1" manualBreakCount="1">
    <brk id="51" max="8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51222175-0F35-4B9B-969A-A51243FC11FD}">
            <x14:iconSet iconSet="3Symbols" custom="1">
              <x14:cfvo type="percent">
                <xm:f>0</xm:f>
              </x14:cfvo>
              <x14:cfvo type="num">
                <xm:f>2</xm:f>
              </x14:cfvo>
              <x14:cfvo type="num" gte="0">
                <xm:f>30</xm:f>
              </x14:cfvo>
              <x14:cfIcon iconSet="3Symbols" iconId="0"/>
              <x14:cfIcon iconSet="NoIcons" iconId="0"/>
              <x14:cfIcon iconSet="3Symbols" iconId="0"/>
            </x14:iconSet>
          </x14:cfRule>
          <xm:sqref>D42</xm:sqref>
        </x14:conditionalFormatting>
        <x14:conditionalFormatting xmlns:xm="http://schemas.microsoft.com/office/excel/2006/main">
          <x14:cfRule type="iconSet" priority="3" id="{9C01F0C9-B1A1-4446-BB20-F0D4ABD40A5D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>
                <xm:f>$E$26</xm:f>
              </x14:cfvo>
              <x14:cfIcon iconSet="3Symbols" iconId="0"/>
              <x14:cfIcon iconSet="NoIcons" iconId="0"/>
              <x14:cfIcon iconSet="3Symbols" iconId="0"/>
            </x14:iconSet>
          </x14:cfRule>
          <xm:sqref>G32</xm:sqref>
        </x14:conditionalFormatting>
        <x14:conditionalFormatting xmlns:xm="http://schemas.microsoft.com/office/excel/2006/main">
          <x14:cfRule type="iconSet" priority="2" id="{32B4AD9D-DB3F-4C8F-AF29-2573AFED9C41}">
            <x14:iconSet iconSet="3Symbols" custom="1">
              <x14:cfvo type="percent">
                <xm:f>0</xm:f>
              </x14:cfvo>
              <x14:cfvo type="percent" gte="0">
                <xm:f>0</xm:f>
              </x14:cfvo>
              <x14:cfvo type="percent" gte="0">
                <xm:f>20</xm:f>
              </x14:cfvo>
              <x14:cfIcon iconSet="NoIcons" iconId="0"/>
              <x14:cfIcon iconSet="NoIcons" iconId="0"/>
              <x14:cfIcon iconSet="3Symbols" iconId="0"/>
            </x14:iconSet>
          </x14:cfRule>
          <xm:sqref>E31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328" yWindow="598" count="11">
        <x14:dataValidation type="list" showInputMessage="1" showErrorMessage="1" promptTitle="Structure" prompt="Select soil structure type" xr:uid="{00000000-0002-0000-0000-000002000000}">
          <x14:formula1>
            <xm:f>lookups!$I$3:$I$9</xm:f>
          </x14:formula1>
          <xm:sqref>C28</xm:sqref>
        </x14:dataValidation>
        <x14:dataValidation type="list" allowBlank="1" showInputMessage="1" showErrorMessage="1" promptTitle="Select BOD/TSS" prompt="Septic Tank Effluent = &gt;25_x000a_Aerator or other device = &lt;25" xr:uid="{00000000-0002-0000-0000-000003000000}">
          <x14:formula1>
            <xm:f>lookups!$I$12:$I$13</xm:f>
          </x14:formula1>
          <xm:sqref>C31</xm:sqref>
        </x14:dataValidation>
        <x14:dataValidation type="list" allowBlank="1" showInputMessage="1" showErrorMessage="1" xr:uid="{00000000-0002-0000-0000-000004000000}">
          <x14:formula1>
            <xm:f>lookups!$I$14:$I$22</xm:f>
          </x14:formula1>
          <xm:sqref>E9</xm:sqref>
        </x14:dataValidation>
        <x14:dataValidation type="list" errorStyle="warning" showInputMessage="1" showErrorMessage="1" error="Select from list" promptTitle="Pretreatment" prompt="If used, select type of pretreatment device" xr:uid="{00000000-0002-0000-0000-000005000000}">
          <x14:formula1>
            <xm:f>lookups!$B$13:$B$20</xm:f>
          </x14:formula1>
          <xm:sqref>C16</xm:sqref>
        </x14:dataValidation>
        <x14:dataValidation type="list" showInputMessage="1" showErrorMessage="1" promptTitle="Texture" prompt="Select Soil Texture" xr:uid="{00000000-0002-0000-0000-000006000000}">
          <x14:formula1>
            <xm:f>tables!$A$4:$A$25</xm:f>
          </x14:formula1>
          <xm:sqref>E27:F27</xm:sqref>
        </x14:dataValidation>
        <x14:dataValidation type="list" allowBlank="1" showInputMessage="1" showErrorMessage="1" xr:uid="{00000000-0002-0000-0000-000007000000}">
          <x14:formula1>
            <xm:f>lookups!$G$3:$G$7</xm:f>
          </x14:formula1>
          <xm:sqref>E28:F28</xm:sqref>
        </x14:dataValidation>
        <x14:dataValidation type="list" allowBlank="1" showInputMessage="1" showErrorMessage="1" xr:uid="{00000000-0002-0000-0000-000008000000}">
          <x14:formula1>
            <xm:f>lookups!$E$25:$E$27</xm:f>
          </x14:formula1>
          <xm:sqref>D35</xm:sqref>
        </x14:dataValidation>
        <x14:dataValidation type="list" showInputMessage="1" showErrorMessage="1" xr:uid="{00000000-0002-0000-0000-000009000000}">
          <x14:formula1>
            <xm:f>lookups!$J$3:$J$9</xm:f>
          </x14:formula1>
          <xm:sqref>C32:D32</xm:sqref>
        </x14:dataValidation>
        <x14:dataValidation type="list" showInputMessage="1" showErrorMessage="1" xr:uid="{00000000-0002-0000-0000-00000B000000}">
          <x14:formula1>
            <xm:f>lookups!$B$3:$B$10</xm:f>
          </x14:formula1>
          <xm:sqref>C26</xm:sqref>
        </x14:dataValidation>
        <x14:dataValidation type="list" allowBlank="1" showInputMessage="1" showErrorMessage="1" xr:uid="{00000000-0002-0000-0000-00000C000000}">
          <x14:formula1>
            <xm:f>lookups!$I$26:$I$33</xm:f>
          </x14:formula1>
          <xm:sqref>C25</xm:sqref>
        </x14:dataValidation>
        <x14:dataValidation type="list" showInputMessage="1" showErrorMessage="1" promptTitle="Select Political Subdivision" xr:uid="{00000000-0002-0000-0000-00000A000000}">
          <x14:formula1>
            <xm:f>lookups!$G$11:$G$48</xm:f>
          </x14:formula1>
          <xm:sqref>C5:D5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2"/>
  <sheetViews>
    <sheetView workbookViewId="0">
      <selection sqref="A1:XFD1048576"/>
    </sheetView>
  </sheetViews>
  <sheetFormatPr defaultRowHeight="12.75" x14ac:dyDescent="0.2"/>
  <cols>
    <col min="1" max="1" width="19.5703125" customWidth="1"/>
    <col min="4" max="4" width="10.5703125" customWidth="1"/>
    <col min="6" max="6" width="12.5703125" customWidth="1"/>
    <col min="7" max="7" width="12" customWidth="1"/>
    <col min="17" max="17" width="4.5703125" customWidth="1"/>
  </cols>
  <sheetData>
    <row r="1" spans="1:18" s="195" customFormat="1" ht="11.25" x14ac:dyDescent="0.2">
      <c r="C1" s="195" t="s">
        <v>253</v>
      </c>
      <c r="D1" s="195">
        <v>2</v>
      </c>
      <c r="E1" s="195">
        <v>3</v>
      </c>
      <c r="F1" s="195">
        <v>4</v>
      </c>
      <c r="G1" s="195">
        <v>5</v>
      </c>
      <c r="H1" s="195">
        <v>6</v>
      </c>
      <c r="I1" s="195">
        <v>7</v>
      </c>
      <c r="J1" s="195">
        <v>8</v>
      </c>
      <c r="K1" s="195">
        <v>9</v>
      </c>
      <c r="L1" s="195">
        <v>10</v>
      </c>
      <c r="M1" s="195">
        <v>11</v>
      </c>
      <c r="N1" s="195">
        <v>12</v>
      </c>
      <c r="O1" s="195">
        <v>13</v>
      </c>
      <c r="P1" s="195">
        <v>14</v>
      </c>
    </row>
    <row r="2" spans="1:18" x14ac:dyDescent="0.2">
      <c r="G2" s="189" t="s">
        <v>135</v>
      </c>
      <c r="H2" s="190"/>
      <c r="I2" s="191" t="s">
        <v>152</v>
      </c>
      <c r="J2" s="191"/>
      <c r="K2" s="191"/>
      <c r="L2" s="191" t="s">
        <v>153</v>
      </c>
      <c r="M2" s="191"/>
      <c r="N2" s="191"/>
      <c r="O2" s="191" t="s">
        <v>136</v>
      </c>
      <c r="P2" s="192"/>
    </row>
    <row r="3" spans="1:18" x14ac:dyDescent="0.2">
      <c r="A3" t="s">
        <v>64</v>
      </c>
      <c r="F3" s="175" t="s">
        <v>252</v>
      </c>
      <c r="G3" s="196" t="s">
        <v>254</v>
      </c>
      <c r="H3" s="178" t="s">
        <v>259</v>
      </c>
      <c r="I3" s="178" t="s">
        <v>260</v>
      </c>
      <c r="J3" s="179" t="s">
        <v>256</v>
      </c>
      <c r="K3" s="177" t="s">
        <v>259</v>
      </c>
      <c r="L3" s="178" t="s">
        <v>260</v>
      </c>
      <c r="M3" s="179" t="s">
        <v>256</v>
      </c>
      <c r="N3" s="177" t="s">
        <v>259</v>
      </c>
      <c r="O3" s="178" t="s">
        <v>260</v>
      </c>
      <c r="P3" s="179" t="s">
        <v>256</v>
      </c>
    </row>
    <row r="4" spans="1:18" x14ac:dyDescent="0.2">
      <c r="B4" t="s">
        <v>137</v>
      </c>
      <c r="D4" t="s">
        <v>48</v>
      </c>
      <c r="E4" t="s">
        <v>43</v>
      </c>
      <c r="F4" s="187" t="s">
        <v>155</v>
      </c>
      <c r="G4" s="188" t="s">
        <v>156</v>
      </c>
      <c r="H4" s="169" t="s">
        <v>154</v>
      </c>
      <c r="I4" s="170" t="s">
        <v>154</v>
      </c>
      <c r="J4" s="171" t="s">
        <v>154</v>
      </c>
      <c r="K4" s="170" t="s">
        <v>154</v>
      </c>
      <c r="L4" s="170" t="s">
        <v>154</v>
      </c>
      <c r="M4" s="171" t="s">
        <v>154</v>
      </c>
      <c r="N4" s="170" t="s">
        <v>154</v>
      </c>
      <c r="O4" s="170" t="s">
        <v>154</v>
      </c>
      <c r="P4" s="171" t="s">
        <v>154</v>
      </c>
      <c r="Q4" s="172" t="s">
        <v>257</v>
      </c>
    </row>
    <row r="5" spans="1:18" ht="13.5" x14ac:dyDescent="0.25">
      <c r="A5" s="71" t="s">
        <v>83</v>
      </c>
      <c r="B5" s="76">
        <v>8</v>
      </c>
      <c r="C5" s="206">
        <v>1</v>
      </c>
      <c r="D5" s="155">
        <v>0</v>
      </c>
      <c r="E5" s="164" t="s">
        <v>138</v>
      </c>
      <c r="F5" s="174">
        <v>0.8</v>
      </c>
      <c r="G5" s="180">
        <v>1.6</v>
      </c>
      <c r="H5" s="157">
        <v>4</v>
      </c>
      <c r="I5" s="156">
        <v>5</v>
      </c>
      <c r="J5" s="158">
        <v>6</v>
      </c>
      <c r="K5" s="157">
        <v>5</v>
      </c>
      <c r="L5" s="156">
        <v>6</v>
      </c>
      <c r="M5" s="158">
        <v>7</v>
      </c>
      <c r="N5" s="156">
        <v>6</v>
      </c>
      <c r="O5" s="156">
        <v>7</v>
      </c>
      <c r="P5" s="158">
        <v>8</v>
      </c>
      <c r="Q5">
        <v>1</v>
      </c>
      <c r="R5" t="s">
        <v>242</v>
      </c>
    </row>
    <row r="6" spans="1:18" ht="13.5" x14ac:dyDescent="0.25">
      <c r="A6" s="74" t="s">
        <v>79</v>
      </c>
      <c r="B6" s="76">
        <v>7</v>
      </c>
      <c r="C6" s="207">
        <v>2</v>
      </c>
      <c r="D6" s="83">
        <v>0</v>
      </c>
      <c r="E6" s="165" t="s">
        <v>138</v>
      </c>
      <c r="F6" s="181">
        <v>0.4</v>
      </c>
      <c r="G6" s="182">
        <v>1</v>
      </c>
      <c r="H6" s="160">
        <v>3.5</v>
      </c>
      <c r="I6" s="159">
        <v>4.5</v>
      </c>
      <c r="J6" s="161">
        <v>5.5</v>
      </c>
      <c r="K6" s="160">
        <v>4</v>
      </c>
      <c r="L6" s="159">
        <v>5</v>
      </c>
      <c r="M6" s="161">
        <v>6</v>
      </c>
      <c r="N6" s="159">
        <v>5</v>
      </c>
      <c r="O6" s="159">
        <v>6</v>
      </c>
      <c r="P6" s="161">
        <v>7</v>
      </c>
      <c r="Q6">
        <v>2</v>
      </c>
      <c r="R6" t="s">
        <v>243</v>
      </c>
    </row>
    <row r="7" spans="1:18" ht="13.5" x14ac:dyDescent="0.25">
      <c r="A7" s="71" t="s">
        <v>65</v>
      </c>
      <c r="B7" s="76">
        <v>1</v>
      </c>
      <c r="C7" s="207">
        <v>3</v>
      </c>
      <c r="D7" s="83">
        <v>0</v>
      </c>
      <c r="E7" s="165" t="s">
        <v>139</v>
      </c>
      <c r="F7" s="181">
        <v>0.2</v>
      </c>
      <c r="G7" s="182">
        <v>0.6</v>
      </c>
      <c r="H7" s="160">
        <v>3</v>
      </c>
      <c r="I7" s="159">
        <v>3.5</v>
      </c>
      <c r="J7" s="161">
        <v>4</v>
      </c>
      <c r="K7" s="159">
        <v>3.6</v>
      </c>
      <c r="L7" s="159">
        <v>4.0999999999999996</v>
      </c>
      <c r="M7" s="161">
        <v>4.5999999999999996</v>
      </c>
      <c r="N7" s="159">
        <v>5</v>
      </c>
      <c r="O7" s="159">
        <v>6</v>
      </c>
      <c r="P7" s="161">
        <v>7</v>
      </c>
      <c r="Q7">
        <v>3</v>
      </c>
      <c r="R7" t="s">
        <v>244</v>
      </c>
    </row>
    <row r="8" spans="1:18" ht="13.5" x14ac:dyDescent="0.25">
      <c r="A8" s="71" t="s">
        <v>250</v>
      </c>
      <c r="B8" s="76">
        <v>3</v>
      </c>
      <c r="C8" s="208">
        <v>3.11</v>
      </c>
      <c r="D8" s="199" t="s">
        <v>140</v>
      </c>
      <c r="E8" s="200">
        <v>1</v>
      </c>
      <c r="F8" s="183">
        <v>0.2</v>
      </c>
      <c r="G8" s="184">
        <v>0.5</v>
      </c>
      <c r="H8" s="85">
        <v>3</v>
      </c>
      <c r="I8" s="86">
        <v>3.5</v>
      </c>
      <c r="J8" s="87">
        <v>4</v>
      </c>
      <c r="K8" s="86">
        <v>3.6</v>
      </c>
      <c r="L8" s="86">
        <v>4.0999999999999996</v>
      </c>
      <c r="M8" s="87">
        <v>4.5999999999999996</v>
      </c>
      <c r="N8" s="86">
        <v>4</v>
      </c>
      <c r="O8" s="86">
        <v>5</v>
      </c>
      <c r="P8" s="87">
        <v>6</v>
      </c>
      <c r="Q8">
        <v>4</v>
      </c>
      <c r="R8" t="s">
        <v>244</v>
      </c>
    </row>
    <row r="9" spans="1:18" ht="13.5" x14ac:dyDescent="0.25">
      <c r="A9" s="71" t="s">
        <v>67</v>
      </c>
      <c r="B9" s="76">
        <v>2</v>
      </c>
      <c r="C9" s="209">
        <v>3.12</v>
      </c>
      <c r="D9" s="84" t="s">
        <v>140</v>
      </c>
      <c r="E9" s="166" t="s">
        <v>141</v>
      </c>
      <c r="F9" s="183">
        <v>0</v>
      </c>
      <c r="G9" s="184">
        <v>0</v>
      </c>
      <c r="H9" s="85">
        <v>0</v>
      </c>
      <c r="I9" s="86">
        <v>0</v>
      </c>
      <c r="J9" s="87">
        <v>0</v>
      </c>
      <c r="K9" s="86">
        <v>0</v>
      </c>
      <c r="L9" s="86">
        <v>0</v>
      </c>
      <c r="M9" s="87">
        <v>0</v>
      </c>
      <c r="N9" s="86">
        <v>0</v>
      </c>
      <c r="O9" s="86">
        <v>0</v>
      </c>
      <c r="P9" s="87">
        <v>0</v>
      </c>
      <c r="Q9">
        <v>5</v>
      </c>
      <c r="R9" t="s">
        <v>244</v>
      </c>
    </row>
    <row r="10" spans="1:18" ht="13.5" x14ac:dyDescent="0.25">
      <c r="A10" s="74" t="s">
        <v>74</v>
      </c>
      <c r="B10" s="76">
        <v>4</v>
      </c>
      <c r="C10" s="209">
        <v>3.21</v>
      </c>
      <c r="D10" s="84" t="s">
        <v>142</v>
      </c>
      <c r="E10" s="166">
        <v>1</v>
      </c>
      <c r="F10" s="183">
        <v>0.4</v>
      </c>
      <c r="G10" s="184">
        <v>0.7</v>
      </c>
      <c r="H10" s="85">
        <v>3.5</v>
      </c>
      <c r="I10" s="86">
        <v>4.5</v>
      </c>
      <c r="J10" s="87">
        <v>5.5</v>
      </c>
      <c r="K10" s="86">
        <v>4</v>
      </c>
      <c r="L10" s="86">
        <v>5</v>
      </c>
      <c r="M10" s="87">
        <v>6</v>
      </c>
      <c r="N10" s="86">
        <v>5</v>
      </c>
      <c r="O10" s="86">
        <v>6</v>
      </c>
      <c r="P10" s="87">
        <v>7</v>
      </c>
      <c r="Q10">
        <v>6</v>
      </c>
      <c r="R10" t="s">
        <v>244</v>
      </c>
    </row>
    <row r="11" spans="1:18" ht="13.5" x14ac:dyDescent="0.25">
      <c r="A11" s="74" t="s">
        <v>76</v>
      </c>
      <c r="B11" s="76">
        <v>5</v>
      </c>
      <c r="C11" s="210">
        <v>3.22</v>
      </c>
      <c r="D11" s="162" t="s">
        <v>142</v>
      </c>
      <c r="E11" s="167" t="s">
        <v>141</v>
      </c>
      <c r="F11" s="185">
        <v>0.6</v>
      </c>
      <c r="G11" s="186">
        <v>1</v>
      </c>
      <c r="H11" s="88">
        <v>3.5</v>
      </c>
      <c r="I11" s="89">
        <v>4.5</v>
      </c>
      <c r="J11" s="90">
        <v>5.5</v>
      </c>
      <c r="K11" s="89">
        <v>4</v>
      </c>
      <c r="L11" s="89">
        <v>5</v>
      </c>
      <c r="M11" s="90">
        <v>6</v>
      </c>
      <c r="N11" s="89">
        <v>5</v>
      </c>
      <c r="O11" s="89">
        <v>6</v>
      </c>
      <c r="P11" s="90">
        <v>7</v>
      </c>
      <c r="Q11">
        <v>7</v>
      </c>
      <c r="R11" t="s">
        <v>244</v>
      </c>
    </row>
    <row r="12" spans="1:18" ht="13.5" x14ac:dyDescent="0.25">
      <c r="A12" s="73" t="s">
        <v>69</v>
      </c>
      <c r="B12" s="76">
        <v>1</v>
      </c>
      <c r="C12" s="207">
        <v>4</v>
      </c>
      <c r="D12" s="83">
        <v>0</v>
      </c>
      <c r="E12" s="165" t="s">
        <v>139</v>
      </c>
      <c r="F12" s="181">
        <v>0.2</v>
      </c>
      <c r="G12" s="182">
        <v>0.5</v>
      </c>
      <c r="H12" s="160">
        <v>2</v>
      </c>
      <c r="I12" s="159">
        <v>2.2999999999999998</v>
      </c>
      <c r="J12" s="161">
        <v>2.6</v>
      </c>
      <c r="K12" s="159">
        <v>2.4</v>
      </c>
      <c r="L12" s="159">
        <v>2.7</v>
      </c>
      <c r="M12" s="161">
        <v>3</v>
      </c>
      <c r="N12" s="159">
        <v>2.7</v>
      </c>
      <c r="O12" s="159">
        <v>3.2</v>
      </c>
      <c r="P12" s="161">
        <v>3.7</v>
      </c>
      <c r="Q12">
        <v>8</v>
      </c>
      <c r="R12" t="s">
        <v>245</v>
      </c>
    </row>
    <row r="13" spans="1:18" ht="13.5" x14ac:dyDescent="0.25">
      <c r="A13" s="73" t="s">
        <v>71</v>
      </c>
      <c r="B13" s="76">
        <v>2</v>
      </c>
      <c r="C13" s="209">
        <v>4.0999999999999996</v>
      </c>
      <c r="D13" s="84" t="s">
        <v>140</v>
      </c>
      <c r="E13" s="166" t="s">
        <v>143</v>
      </c>
      <c r="F13" s="183">
        <v>0</v>
      </c>
      <c r="G13" s="184">
        <v>0</v>
      </c>
      <c r="H13" s="85">
        <v>0</v>
      </c>
      <c r="I13" s="86">
        <v>0</v>
      </c>
      <c r="J13" s="87">
        <v>0</v>
      </c>
      <c r="K13" s="85">
        <v>0</v>
      </c>
      <c r="L13" s="86">
        <v>0</v>
      </c>
      <c r="M13" s="87">
        <v>0</v>
      </c>
      <c r="N13" s="86">
        <v>0</v>
      </c>
      <c r="O13" s="86">
        <v>0</v>
      </c>
      <c r="P13" s="87">
        <v>0</v>
      </c>
      <c r="Q13">
        <v>9</v>
      </c>
      <c r="R13" t="s">
        <v>245</v>
      </c>
    </row>
    <row r="14" spans="1:18" ht="13.5" x14ac:dyDescent="0.25">
      <c r="A14" s="73" t="s">
        <v>70</v>
      </c>
      <c r="B14" s="76">
        <v>1</v>
      </c>
      <c r="C14" s="209">
        <v>4.21</v>
      </c>
      <c r="D14" s="84" t="s">
        <v>142</v>
      </c>
      <c r="E14" s="166">
        <v>1</v>
      </c>
      <c r="F14" s="183">
        <v>0.2</v>
      </c>
      <c r="G14" s="184">
        <v>0.6</v>
      </c>
      <c r="H14" s="85">
        <v>3</v>
      </c>
      <c r="I14" s="86">
        <v>3.5</v>
      </c>
      <c r="J14" s="87">
        <v>4</v>
      </c>
      <c r="K14" s="85">
        <v>3.3</v>
      </c>
      <c r="L14" s="86">
        <v>3.8</v>
      </c>
      <c r="M14" s="87">
        <v>4.3</v>
      </c>
      <c r="N14" s="86">
        <v>3.6</v>
      </c>
      <c r="O14" s="86">
        <v>4.0999999999999996</v>
      </c>
      <c r="P14" s="87">
        <v>4.5999999999999996</v>
      </c>
      <c r="Q14">
        <v>10</v>
      </c>
      <c r="R14" t="s">
        <v>245</v>
      </c>
    </row>
    <row r="15" spans="1:18" ht="13.5" x14ac:dyDescent="0.25">
      <c r="A15" s="71" t="s">
        <v>72</v>
      </c>
      <c r="B15" s="76">
        <v>2</v>
      </c>
      <c r="C15" s="210">
        <v>4.22</v>
      </c>
      <c r="D15" s="163" t="s">
        <v>142</v>
      </c>
      <c r="E15" s="167" t="s">
        <v>141</v>
      </c>
      <c r="F15" s="185">
        <v>0.4</v>
      </c>
      <c r="G15" s="186">
        <v>0.8</v>
      </c>
      <c r="H15" s="88">
        <v>3.3</v>
      </c>
      <c r="I15" s="89">
        <v>3.8</v>
      </c>
      <c r="J15" s="90">
        <v>4.3</v>
      </c>
      <c r="K15" s="88">
        <v>3.6</v>
      </c>
      <c r="L15" s="89">
        <v>4.0999999999999996</v>
      </c>
      <c r="M15" s="90">
        <v>4.5999999999999996</v>
      </c>
      <c r="N15" s="88">
        <v>3.9</v>
      </c>
      <c r="O15" s="89">
        <v>4.4000000000000004</v>
      </c>
      <c r="P15" s="90">
        <v>4.9000000000000004</v>
      </c>
      <c r="Q15">
        <v>11</v>
      </c>
      <c r="R15" t="s">
        <v>245</v>
      </c>
    </row>
    <row r="16" spans="1:18" ht="13.5" x14ac:dyDescent="0.25">
      <c r="A16" s="71" t="s">
        <v>66</v>
      </c>
      <c r="B16" s="76">
        <v>1</v>
      </c>
      <c r="C16" s="207">
        <v>5</v>
      </c>
      <c r="D16" s="83">
        <v>0</v>
      </c>
      <c r="E16" s="165" t="s">
        <v>139</v>
      </c>
      <c r="F16" s="181">
        <v>0.2</v>
      </c>
      <c r="G16" s="182">
        <v>0.5</v>
      </c>
      <c r="H16" s="160">
        <v>2</v>
      </c>
      <c r="I16" s="159">
        <v>2.2999999999999998</v>
      </c>
      <c r="J16" s="161">
        <v>2.6</v>
      </c>
      <c r="K16" s="160">
        <v>2.4</v>
      </c>
      <c r="L16" s="159">
        <v>2.7</v>
      </c>
      <c r="M16" s="161">
        <v>3</v>
      </c>
      <c r="N16" s="160">
        <v>2.7</v>
      </c>
      <c r="O16" s="159">
        <v>3.2</v>
      </c>
      <c r="P16" s="161">
        <v>3.7</v>
      </c>
      <c r="Q16">
        <v>12</v>
      </c>
      <c r="R16" s="75" t="s">
        <v>246</v>
      </c>
    </row>
    <row r="17" spans="1:18" ht="13.5" x14ac:dyDescent="0.25">
      <c r="A17" s="74" t="s">
        <v>81</v>
      </c>
      <c r="B17" s="76">
        <v>8</v>
      </c>
      <c r="C17" s="209">
        <v>5.0999999999999996</v>
      </c>
      <c r="D17" s="84" t="s">
        <v>140</v>
      </c>
      <c r="E17" s="166" t="s">
        <v>143</v>
      </c>
      <c r="F17" s="183">
        <v>0</v>
      </c>
      <c r="G17" s="184">
        <v>0</v>
      </c>
      <c r="H17" s="85">
        <v>0</v>
      </c>
      <c r="I17" s="86">
        <v>0</v>
      </c>
      <c r="J17" s="87">
        <v>0</v>
      </c>
      <c r="K17" s="85">
        <v>0</v>
      </c>
      <c r="L17" s="86">
        <v>0</v>
      </c>
      <c r="M17" s="87">
        <v>0</v>
      </c>
      <c r="N17" s="85">
        <v>0</v>
      </c>
      <c r="O17" s="86">
        <v>0</v>
      </c>
      <c r="P17" s="87">
        <v>0</v>
      </c>
      <c r="Q17">
        <v>13</v>
      </c>
      <c r="R17" s="75" t="s">
        <v>246</v>
      </c>
    </row>
    <row r="18" spans="1:18" ht="13.5" x14ac:dyDescent="0.25">
      <c r="A18" s="74" t="s">
        <v>251</v>
      </c>
      <c r="B18" s="76">
        <v>7</v>
      </c>
      <c r="C18" s="209">
        <v>5.21</v>
      </c>
      <c r="D18" s="84" t="s">
        <v>142</v>
      </c>
      <c r="E18" s="166">
        <v>1</v>
      </c>
      <c r="F18" s="183">
        <v>0.4</v>
      </c>
      <c r="G18" s="184">
        <v>0.6</v>
      </c>
      <c r="H18" s="85">
        <v>3</v>
      </c>
      <c r="I18" s="86">
        <v>3.5</v>
      </c>
      <c r="J18" s="87">
        <v>4</v>
      </c>
      <c r="K18" s="85">
        <v>3.3</v>
      </c>
      <c r="L18" s="86">
        <v>3.8</v>
      </c>
      <c r="M18" s="87">
        <v>4.3</v>
      </c>
      <c r="N18" s="85">
        <v>3.6</v>
      </c>
      <c r="O18" s="86">
        <v>4.0999999999999996</v>
      </c>
      <c r="P18" s="87">
        <v>4.5999999999999996</v>
      </c>
      <c r="Q18">
        <v>14</v>
      </c>
      <c r="R18" s="75" t="s">
        <v>246</v>
      </c>
    </row>
    <row r="19" spans="1:18" ht="13.5" x14ac:dyDescent="0.25">
      <c r="A19" s="74" t="s">
        <v>73</v>
      </c>
      <c r="B19" s="76">
        <v>3</v>
      </c>
      <c r="C19" s="210">
        <v>5.22</v>
      </c>
      <c r="D19" s="163" t="s">
        <v>142</v>
      </c>
      <c r="E19" s="167" t="s">
        <v>141</v>
      </c>
      <c r="F19" s="185">
        <v>0.6</v>
      </c>
      <c r="G19" s="186">
        <v>0.8</v>
      </c>
      <c r="H19" s="88">
        <v>3.3</v>
      </c>
      <c r="I19" s="89">
        <v>3.8</v>
      </c>
      <c r="J19" s="90">
        <v>4.3</v>
      </c>
      <c r="K19" s="88">
        <v>3.6</v>
      </c>
      <c r="L19" s="89">
        <v>4.0999999999999996</v>
      </c>
      <c r="M19" s="90">
        <v>4.5999999999999996</v>
      </c>
      <c r="N19" s="88">
        <v>3.9</v>
      </c>
      <c r="O19" s="89">
        <v>4.4000000000000004</v>
      </c>
      <c r="P19" s="90">
        <v>4.9000000000000004</v>
      </c>
      <c r="Q19">
        <v>15</v>
      </c>
      <c r="R19" s="75" t="s">
        <v>246</v>
      </c>
    </row>
    <row r="20" spans="1:18" ht="13.5" x14ac:dyDescent="0.25">
      <c r="A20" s="74" t="s">
        <v>77</v>
      </c>
      <c r="B20" s="76">
        <v>6</v>
      </c>
      <c r="C20" s="207">
        <v>6</v>
      </c>
      <c r="D20" s="83">
        <v>0</v>
      </c>
      <c r="E20" s="165" t="s">
        <v>139</v>
      </c>
      <c r="F20" s="181">
        <v>0</v>
      </c>
      <c r="G20" s="182">
        <v>0.2</v>
      </c>
      <c r="H20" s="160">
        <v>2</v>
      </c>
      <c r="I20" s="159">
        <v>2.5</v>
      </c>
      <c r="J20" s="161">
        <v>3</v>
      </c>
      <c r="K20" s="160">
        <v>2.2000000000000002</v>
      </c>
      <c r="L20" s="159">
        <v>2.7</v>
      </c>
      <c r="M20" s="161">
        <v>3.2</v>
      </c>
      <c r="N20" s="160">
        <v>2.4</v>
      </c>
      <c r="O20" s="159">
        <v>2.9</v>
      </c>
      <c r="P20" s="161">
        <v>3.4</v>
      </c>
      <c r="Q20">
        <v>16</v>
      </c>
      <c r="R20" s="75" t="s">
        <v>247</v>
      </c>
    </row>
    <row r="21" spans="1:18" ht="13.5" x14ac:dyDescent="0.25">
      <c r="A21" s="74" t="s">
        <v>78</v>
      </c>
      <c r="B21" s="76">
        <v>6</v>
      </c>
      <c r="C21" s="209">
        <v>6.1</v>
      </c>
      <c r="D21" s="84" t="s">
        <v>140</v>
      </c>
      <c r="E21" s="166" t="s">
        <v>143</v>
      </c>
      <c r="F21" s="183">
        <v>0</v>
      </c>
      <c r="G21" s="184">
        <v>0</v>
      </c>
      <c r="H21" s="85">
        <v>0</v>
      </c>
      <c r="I21" s="86">
        <v>0</v>
      </c>
      <c r="J21" s="87">
        <v>0</v>
      </c>
      <c r="K21" s="85">
        <v>0</v>
      </c>
      <c r="L21" s="86">
        <v>0</v>
      </c>
      <c r="M21" s="87">
        <v>0</v>
      </c>
      <c r="N21" s="85">
        <v>0</v>
      </c>
      <c r="O21" s="86">
        <v>0</v>
      </c>
      <c r="P21" s="87">
        <v>0</v>
      </c>
      <c r="Q21">
        <v>17</v>
      </c>
      <c r="R21" s="75" t="s">
        <v>247</v>
      </c>
    </row>
    <row r="22" spans="1:18" ht="13.5" x14ac:dyDescent="0.25">
      <c r="A22" s="74" t="s">
        <v>82</v>
      </c>
      <c r="B22" s="76">
        <v>8</v>
      </c>
      <c r="C22" s="209">
        <v>6.21</v>
      </c>
      <c r="D22" s="84" t="s">
        <v>142</v>
      </c>
      <c r="E22" s="166">
        <v>1</v>
      </c>
      <c r="F22" s="183">
        <v>0.4</v>
      </c>
      <c r="G22" s="184">
        <v>0.6</v>
      </c>
      <c r="H22" s="85">
        <v>2.4</v>
      </c>
      <c r="I22" s="86">
        <v>2.7</v>
      </c>
      <c r="J22" s="87">
        <v>3</v>
      </c>
      <c r="K22" s="85">
        <v>2.7</v>
      </c>
      <c r="L22" s="86">
        <v>3</v>
      </c>
      <c r="M22" s="87">
        <v>3.3</v>
      </c>
      <c r="N22" s="85">
        <v>3</v>
      </c>
      <c r="O22" s="86">
        <v>3.5</v>
      </c>
      <c r="P22" s="87">
        <v>4</v>
      </c>
      <c r="Q22">
        <v>18</v>
      </c>
      <c r="R22" s="75" t="s">
        <v>247</v>
      </c>
    </row>
    <row r="23" spans="1:18" ht="13.5" x14ac:dyDescent="0.25">
      <c r="A23" s="74" t="s">
        <v>80</v>
      </c>
      <c r="B23" s="76">
        <v>7</v>
      </c>
      <c r="C23" s="210">
        <v>6.22</v>
      </c>
      <c r="D23" s="163" t="s">
        <v>142</v>
      </c>
      <c r="E23" s="167" t="s">
        <v>141</v>
      </c>
      <c r="F23" s="185">
        <v>0.6</v>
      </c>
      <c r="G23" s="186">
        <v>0.8</v>
      </c>
      <c r="H23" s="88">
        <v>2.7</v>
      </c>
      <c r="I23" s="89">
        <v>3</v>
      </c>
      <c r="J23" s="90">
        <v>3.3</v>
      </c>
      <c r="K23" s="88">
        <v>3</v>
      </c>
      <c r="L23" s="89">
        <v>3.5</v>
      </c>
      <c r="M23" s="90">
        <v>4</v>
      </c>
      <c r="N23" s="88">
        <v>3.3</v>
      </c>
      <c r="O23" s="89">
        <v>3.8</v>
      </c>
      <c r="P23" s="90">
        <v>4.3</v>
      </c>
      <c r="Q23">
        <v>19</v>
      </c>
      <c r="R23" s="75" t="s">
        <v>247</v>
      </c>
    </row>
    <row r="24" spans="1:18" ht="13.5" x14ac:dyDescent="0.25">
      <c r="A24" s="73" t="s">
        <v>68</v>
      </c>
      <c r="B24" s="76">
        <v>2</v>
      </c>
      <c r="C24" s="207">
        <v>7</v>
      </c>
      <c r="D24" s="83">
        <v>0</v>
      </c>
      <c r="E24" s="165" t="s">
        <v>139</v>
      </c>
      <c r="F24" s="181">
        <v>0</v>
      </c>
      <c r="G24" s="182">
        <v>0</v>
      </c>
      <c r="H24" s="160">
        <v>0</v>
      </c>
      <c r="I24" s="159">
        <v>0</v>
      </c>
      <c r="J24" s="161">
        <v>0</v>
      </c>
      <c r="K24" s="160">
        <v>0</v>
      </c>
      <c r="L24" s="159">
        <v>0</v>
      </c>
      <c r="M24" s="161">
        <v>0</v>
      </c>
      <c r="N24" s="160">
        <v>0</v>
      </c>
      <c r="O24" s="159">
        <v>0</v>
      </c>
      <c r="P24" s="161">
        <v>0</v>
      </c>
      <c r="Q24">
        <v>20</v>
      </c>
      <c r="R24" s="75" t="s">
        <v>248</v>
      </c>
    </row>
    <row r="25" spans="1:18" ht="13.5" x14ac:dyDescent="0.25">
      <c r="A25" s="74" t="s">
        <v>75</v>
      </c>
      <c r="B25" s="76">
        <v>4</v>
      </c>
      <c r="C25" s="209">
        <v>7.1</v>
      </c>
      <c r="D25" s="84" t="s">
        <v>140</v>
      </c>
      <c r="E25" s="166" t="s">
        <v>143</v>
      </c>
      <c r="F25" s="183">
        <v>0</v>
      </c>
      <c r="G25" s="184">
        <v>0</v>
      </c>
      <c r="H25" s="85">
        <v>0</v>
      </c>
      <c r="I25" s="86">
        <v>0</v>
      </c>
      <c r="J25" s="87">
        <v>0</v>
      </c>
      <c r="K25" s="85">
        <v>0</v>
      </c>
      <c r="L25" s="86">
        <v>0</v>
      </c>
      <c r="M25" s="87">
        <v>0</v>
      </c>
      <c r="N25" s="85">
        <v>0</v>
      </c>
      <c r="O25" s="86">
        <v>0</v>
      </c>
      <c r="P25" s="87">
        <v>0</v>
      </c>
      <c r="Q25">
        <v>21</v>
      </c>
      <c r="R25" s="75" t="s">
        <v>248</v>
      </c>
    </row>
    <row r="26" spans="1:18" x14ac:dyDescent="0.2">
      <c r="A26" s="10"/>
      <c r="B26" s="76"/>
      <c r="C26" s="209">
        <v>7.21</v>
      </c>
      <c r="D26" s="84" t="s">
        <v>142</v>
      </c>
      <c r="E26" s="166">
        <v>1</v>
      </c>
      <c r="F26" s="183">
        <v>0.2</v>
      </c>
      <c r="G26" s="184">
        <v>0.3</v>
      </c>
      <c r="H26" s="85">
        <v>2</v>
      </c>
      <c r="I26" s="86">
        <v>2.5</v>
      </c>
      <c r="J26" s="87">
        <v>3</v>
      </c>
      <c r="K26" s="85">
        <v>2.2000000000000002</v>
      </c>
      <c r="L26" s="86">
        <v>2.7</v>
      </c>
      <c r="M26" s="87">
        <v>3.2</v>
      </c>
      <c r="N26" s="85">
        <v>2.4</v>
      </c>
      <c r="O26" s="86">
        <v>2.9</v>
      </c>
      <c r="P26" s="87">
        <v>3.4</v>
      </c>
      <c r="Q26">
        <v>22</v>
      </c>
      <c r="R26" s="75" t="s">
        <v>248</v>
      </c>
    </row>
    <row r="27" spans="1:18" x14ac:dyDescent="0.2">
      <c r="B27" s="76"/>
      <c r="C27" s="210">
        <v>7.22</v>
      </c>
      <c r="D27" s="163" t="s">
        <v>142</v>
      </c>
      <c r="E27" s="167" t="s">
        <v>141</v>
      </c>
      <c r="F27" s="185">
        <v>0.4</v>
      </c>
      <c r="G27" s="186">
        <v>0.6</v>
      </c>
      <c r="H27" s="88">
        <v>2.4</v>
      </c>
      <c r="I27" s="89">
        <v>2.9</v>
      </c>
      <c r="J27" s="90">
        <v>3.4</v>
      </c>
      <c r="K27" s="88">
        <v>2.7</v>
      </c>
      <c r="L27" s="89">
        <v>3</v>
      </c>
      <c r="M27" s="90">
        <v>3.3</v>
      </c>
      <c r="N27" s="88">
        <v>3</v>
      </c>
      <c r="O27" s="89">
        <v>3.5</v>
      </c>
      <c r="P27" s="90">
        <v>4</v>
      </c>
      <c r="Q27">
        <v>23</v>
      </c>
      <c r="R27" s="75" t="s">
        <v>248</v>
      </c>
    </row>
    <row r="28" spans="1:18" x14ac:dyDescent="0.2">
      <c r="A28" s="46"/>
      <c r="B28" s="76">
        <v>0</v>
      </c>
      <c r="C28" s="207">
        <v>8</v>
      </c>
      <c r="D28" s="83">
        <v>0</v>
      </c>
      <c r="E28" s="165" t="s">
        <v>139</v>
      </c>
      <c r="F28" s="181">
        <v>0</v>
      </c>
      <c r="G28" s="182">
        <v>0</v>
      </c>
      <c r="H28" s="160">
        <v>0</v>
      </c>
      <c r="I28" s="159">
        <v>0</v>
      </c>
      <c r="J28" s="161">
        <v>0</v>
      </c>
      <c r="K28" s="160">
        <v>0</v>
      </c>
      <c r="L28" s="159">
        <v>0</v>
      </c>
      <c r="M28" s="161">
        <v>0</v>
      </c>
      <c r="N28" s="160">
        <v>0</v>
      </c>
      <c r="O28" s="159">
        <v>0</v>
      </c>
      <c r="P28" s="161">
        <v>0</v>
      </c>
      <c r="Q28">
        <v>24</v>
      </c>
      <c r="R28" s="75" t="s">
        <v>249</v>
      </c>
    </row>
    <row r="29" spans="1:18" x14ac:dyDescent="0.2">
      <c r="A29" s="46" t="s">
        <v>49</v>
      </c>
      <c r="B29" s="76">
        <v>0.2</v>
      </c>
      <c r="C29" s="209">
        <v>8.1</v>
      </c>
      <c r="D29" s="84" t="s">
        <v>140</v>
      </c>
      <c r="E29" s="166" t="s">
        <v>143</v>
      </c>
      <c r="F29" s="183">
        <v>0</v>
      </c>
      <c r="G29" s="184">
        <v>0</v>
      </c>
      <c r="H29" s="85">
        <v>0</v>
      </c>
      <c r="I29" s="86">
        <v>0</v>
      </c>
      <c r="J29" s="87">
        <v>0</v>
      </c>
      <c r="K29" s="85">
        <v>0</v>
      </c>
      <c r="L29" s="86">
        <v>0</v>
      </c>
      <c r="M29" s="87">
        <v>0</v>
      </c>
      <c r="N29" s="85">
        <v>0</v>
      </c>
      <c r="O29" s="86">
        <v>0</v>
      </c>
      <c r="P29" s="87">
        <v>0</v>
      </c>
      <c r="Q29">
        <v>25</v>
      </c>
      <c r="R29" s="75" t="s">
        <v>249</v>
      </c>
    </row>
    <row r="30" spans="1:18" x14ac:dyDescent="0.2">
      <c r="A30" s="46" t="s">
        <v>52</v>
      </c>
      <c r="B30" s="76">
        <v>0.2</v>
      </c>
      <c r="C30" s="209">
        <v>8.1999999999999993</v>
      </c>
      <c r="D30" s="84" t="s">
        <v>142</v>
      </c>
      <c r="E30" s="166">
        <v>1</v>
      </c>
      <c r="F30" s="183">
        <v>0</v>
      </c>
      <c r="G30" s="184">
        <v>0</v>
      </c>
      <c r="H30" s="85">
        <v>0</v>
      </c>
      <c r="I30" s="86">
        <v>0</v>
      </c>
      <c r="J30" s="87">
        <v>0</v>
      </c>
      <c r="K30" s="85">
        <v>0</v>
      </c>
      <c r="L30" s="86">
        <v>0</v>
      </c>
      <c r="M30" s="87">
        <v>0</v>
      </c>
      <c r="N30" s="85">
        <v>0</v>
      </c>
      <c r="O30" s="86">
        <v>0</v>
      </c>
      <c r="P30" s="87">
        <v>0</v>
      </c>
      <c r="Q30">
        <v>26</v>
      </c>
      <c r="R30" s="75" t="s">
        <v>249</v>
      </c>
    </row>
    <row r="31" spans="1:18" x14ac:dyDescent="0.2">
      <c r="A31" s="46" t="s">
        <v>53</v>
      </c>
      <c r="B31" s="76">
        <v>0</v>
      </c>
      <c r="C31" s="210">
        <v>8.2110000000000003</v>
      </c>
      <c r="D31" s="163" t="s">
        <v>142</v>
      </c>
      <c r="E31" s="167" t="s">
        <v>141</v>
      </c>
      <c r="F31" s="185">
        <v>0.2</v>
      </c>
      <c r="G31" s="186">
        <v>0.3</v>
      </c>
      <c r="H31" s="88">
        <v>2</v>
      </c>
      <c r="I31" s="89">
        <v>2.5</v>
      </c>
      <c r="J31" s="90">
        <v>3</v>
      </c>
      <c r="K31" s="88">
        <v>2.2000000000000002</v>
      </c>
      <c r="L31" s="89">
        <v>2.7</v>
      </c>
      <c r="M31" s="90">
        <v>3.2</v>
      </c>
      <c r="N31" s="88">
        <v>2.4</v>
      </c>
      <c r="O31" s="89">
        <v>2.9</v>
      </c>
      <c r="P31" s="90">
        <v>3.4</v>
      </c>
      <c r="Q31">
        <v>27</v>
      </c>
      <c r="R31" s="75" t="s">
        <v>249</v>
      </c>
    </row>
    <row r="32" spans="1:18" x14ac:dyDescent="0.2">
      <c r="A32" s="46" t="s">
        <v>50</v>
      </c>
      <c r="B32" s="76">
        <v>0.1</v>
      </c>
    </row>
    <row r="33" spans="1:11" x14ac:dyDescent="0.2">
      <c r="A33" s="46" t="s">
        <v>51</v>
      </c>
      <c r="B33" s="76">
        <v>0.2</v>
      </c>
      <c r="D33" s="201" t="str">
        <f>Leaching!E27</f>
        <v>Clay Loam - CL</v>
      </c>
      <c r="E33" s="83"/>
      <c r="F33" s="202" t="str">
        <f>Leaching!C31</f>
        <v>&gt;25 mg/L</v>
      </c>
    </row>
    <row r="34" spans="1:11" x14ac:dyDescent="0.2">
      <c r="A34" s="46" t="s">
        <v>134</v>
      </c>
      <c r="B34" s="76">
        <v>0.2</v>
      </c>
      <c r="D34" s="203" t="str">
        <f>Leaching!C28</f>
        <v>Subangular Blocky</v>
      </c>
      <c r="E34" s="163"/>
      <c r="F34" s="204" t="str">
        <f>Leaching!E28</f>
        <v>2 Moderate</v>
      </c>
    </row>
    <row r="35" spans="1:11" x14ac:dyDescent="0.2">
      <c r="D35" s="168">
        <f>VLOOKUP(Leaching!E27,A5:B26,2)</f>
        <v>7</v>
      </c>
      <c r="E35" s="75" t="s">
        <v>144</v>
      </c>
      <c r="H35" s="81">
        <f>Leaching!E31</f>
        <v>0.01</v>
      </c>
      <c r="I35" s="190" t="s">
        <v>1</v>
      </c>
      <c r="K35" s="190">
        <f>_xlfn.IFS(H35&lt;5%,0,H35&lt;10%,3,H35&gt;9.9%,6)</f>
        <v>0</v>
      </c>
    </row>
    <row r="36" spans="1:11" x14ac:dyDescent="0.2">
      <c r="A36" s="45"/>
      <c r="D36" s="168">
        <f>VLOOKUP(Leaching!C28,A28:B34,2)</f>
        <v>0.2</v>
      </c>
      <c r="E36" s="75" t="s">
        <v>145</v>
      </c>
      <c r="H36" s="82">
        <f>Leaching!E26-Leaching!D43</f>
        <v>36</v>
      </c>
      <c r="I36" s="176" t="s">
        <v>175</v>
      </c>
      <c r="K36" s="176">
        <f>IF(H36&gt;23.9,2,IF(H36&gt;11.9,1,0))</f>
        <v>2</v>
      </c>
    </row>
    <row r="37" spans="1:11" x14ac:dyDescent="0.2">
      <c r="A37" s="46"/>
      <c r="D37" s="168">
        <f>VLOOKUP(Leaching!E28,A37:B41,2)</f>
        <v>0.02</v>
      </c>
      <c r="E37" s="75" t="s">
        <v>146</v>
      </c>
      <c r="J37" s="173" t="s">
        <v>258</v>
      </c>
      <c r="K37">
        <f>SUM(K34:K36)</f>
        <v>2</v>
      </c>
    </row>
    <row r="38" spans="1:11" x14ac:dyDescent="0.2">
      <c r="A38" s="46" t="s">
        <v>45</v>
      </c>
      <c r="B38">
        <v>0</v>
      </c>
      <c r="H38" s="197">
        <f>VLOOKUP(D39,C5:P31,K38,TRUE)</f>
        <v>3.4</v>
      </c>
      <c r="I38" s="198" t="s">
        <v>154</v>
      </c>
      <c r="J38" s="193" t="s">
        <v>255</v>
      </c>
      <c r="K38" s="194">
        <f>K37+6</f>
        <v>8</v>
      </c>
    </row>
    <row r="39" spans="1:11" x14ac:dyDescent="0.2">
      <c r="A39" s="46" t="s">
        <v>44</v>
      </c>
      <c r="B39">
        <v>0.01</v>
      </c>
      <c r="D39" s="205">
        <f>SUM(D35:D38)</f>
        <v>7.22</v>
      </c>
      <c r="E39" s="75" t="s">
        <v>147</v>
      </c>
      <c r="H39" s="197">
        <f>IF(F33="&lt;25mg/L",D42,D41)</f>
        <v>0.4</v>
      </c>
      <c r="I39" s="198" t="s">
        <v>261</v>
      </c>
    </row>
    <row r="40" spans="1:11" x14ac:dyDescent="0.2">
      <c r="A40" s="46" t="s">
        <v>46</v>
      </c>
      <c r="B40">
        <v>0.02</v>
      </c>
    </row>
    <row r="41" spans="1:11" x14ac:dyDescent="0.2">
      <c r="A41" s="46" t="s">
        <v>47</v>
      </c>
      <c r="B41">
        <v>0.02</v>
      </c>
      <c r="D41" s="72">
        <f>VLOOKUP(D39,C5:P31,4,TRUE)</f>
        <v>0.4</v>
      </c>
      <c r="E41" s="75" t="s">
        <v>157</v>
      </c>
    </row>
    <row r="42" spans="1:11" x14ac:dyDescent="0.2">
      <c r="D42" s="80">
        <f>VLOOKUP(D39,C5:P31,5,TRUE)</f>
        <v>0.6</v>
      </c>
      <c r="E42" s="75" t="s">
        <v>158</v>
      </c>
    </row>
  </sheetData>
  <sheetProtection algorithmName="SHA-512" hashValue="+jDqewPGBs5Snw6HscXy09f7nRh2KzwXHRDGnzvMMsom4+QFMZftC9YrNSdEC2EkOFOShcbGDZ/yGyZBgOtFOQ==" saltValue="hmCqK+8w2TbPYhv1Oow4aw==" spinCount="100000" sheet="1" objects="1" scenarios="1"/>
  <sortState xmlns:xlrd2="http://schemas.microsoft.com/office/spreadsheetml/2017/richdata2" ref="C5:P31">
    <sortCondition ref="C5:C31"/>
  </sortState>
  <phoneticPr fontId="0" type="noConversion"/>
  <conditionalFormatting sqref="D11">
    <cfRule type="cellIs" dxfId="13" priority="3" operator="equal">
      <formula>$D$39</formula>
    </cfRule>
  </conditionalFormatting>
  <conditionalFormatting sqref="C7:C31">
    <cfRule type="cellIs" dxfId="12" priority="1" operator="equal">
      <formula>$D$39</formula>
    </cfRule>
  </conditionalFormatting>
  <pageMargins left="0.7" right="0.7" top="0.75" bottom="0.75" header="0.3" footer="0.3"/>
  <pageSetup orientation="portrait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5"/>
  <sheetViews>
    <sheetView topLeftCell="A10" workbookViewId="0">
      <selection activeCell="I36" sqref="I36"/>
    </sheetView>
  </sheetViews>
  <sheetFormatPr defaultRowHeight="12.75" x14ac:dyDescent="0.2"/>
  <cols>
    <col min="2" max="2" width="18.7109375" customWidth="1"/>
  </cols>
  <sheetData>
    <row r="1" spans="1:15" x14ac:dyDescent="0.2">
      <c r="A1" s="46"/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5" x14ac:dyDescent="0.2">
      <c r="B2" s="61" t="s">
        <v>28</v>
      </c>
      <c r="C2" s="61" t="s">
        <v>29</v>
      </c>
      <c r="D2" s="46" t="s">
        <v>209</v>
      </c>
      <c r="E2" s="61" t="s">
        <v>1</v>
      </c>
      <c r="F2" s="61" t="s">
        <v>35</v>
      </c>
      <c r="G2" s="61" t="s">
        <v>43</v>
      </c>
      <c r="H2" s="61" t="s">
        <v>54</v>
      </c>
      <c r="I2" s="61" t="s">
        <v>48</v>
      </c>
      <c r="J2" s="61" t="s">
        <v>55</v>
      </c>
      <c r="K2" s="61" t="s">
        <v>133</v>
      </c>
      <c r="M2" s="46" t="s">
        <v>209</v>
      </c>
    </row>
    <row r="3" spans="1:15" x14ac:dyDescent="0.2">
      <c r="B3" s="91" t="s">
        <v>210</v>
      </c>
      <c r="C3" s="60"/>
      <c r="D3" s="46">
        <v>6</v>
      </c>
      <c r="E3" s="60"/>
      <c r="F3" s="60"/>
      <c r="G3" s="60"/>
      <c r="H3" s="62">
        <v>1</v>
      </c>
      <c r="I3" s="60"/>
      <c r="J3" s="60" t="s">
        <v>58</v>
      </c>
      <c r="K3" s="60">
        <v>0</v>
      </c>
      <c r="M3" s="46"/>
      <c r="N3" s="60"/>
      <c r="O3" s="60"/>
    </row>
    <row r="4" spans="1:15" x14ac:dyDescent="0.2">
      <c r="B4" s="91" t="s">
        <v>211</v>
      </c>
      <c r="C4" s="60">
        <v>18</v>
      </c>
      <c r="D4" s="46">
        <v>6</v>
      </c>
      <c r="E4" s="60"/>
      <c r="F4" s="60"/>
      <c r="G4" s="60" t="s">
        <v>45</v>
      </c>
      <c r="H4" s="62">
        <v>0.82</v>
      </c>
      <c r="I4" s="60" t="s">
        <v>50</v>
      </c>
      <c r="J4" s="91" t="s">
        <v>160</v>
      </c>
      <c r="K4" s="60">
        <v>6</v>
      </c>
      <c r="M4" s="46">
        <v>8</v>
      </c>
      <c r="N4" s="91"/>
      <c r="O4" s="60"/>
    </row>
    <row r="5" spans="1:15" x14ac:dyDescent="0.2">
      <c r="B5" s="91" t="s">
        <v>212</v>
      </c>
      <c r="C5" s="60">
        <v>24</v>
      </c>
      <c r="D5" s="46">
        <v>8</v>
      </c>
      <c r="E5" s="60">
        <v>3</v>
      </c>
      <c r="F5" s="60" t="s">
        <v>32</v>
      </c>
      <c r="G5" s="60" t="s">
        <v>44</v>
      </c>
      <c r="H5" s="62"/>
      <c r="I5" s="60" t="s">
        <v>49</v>
      </c>
      <c r="J5" s="99" t="s">
        <v>178</v>
      </c>
      <c r="K5" s="99">
        <v>6</v>
      </c>
      <c r="M5" s="46">
        <v>8</v>
      </c>
      <c r="N5" s="69"/>
      <c r="O5" s="60"/>
    </row>
    <row r="6" spans="1:15" x14ac:dyDescent="0.2">
      <c r="B6" s="145" t="s">
        <v>213</v>
      </c>
      <c r="C6" s="145">
        <v>18</v>
      </c>
      <c r="D6" s="91">
        <v>8</v>
      </c>
      <c r="E6" s="60">
        <v>4</v>
      </c>
      <c r="F6" s="60" t="s">
        <v>33</v>
      </c>
      <c r="G6" s="60" t="s">
        <v>46</v>
      </c>
      <c r="H6" s="62"/>
      <c r="I6" s="60" t="s">
        <v>134</v>
      </c>
      <c r="J6" s="99" t="s">
        <v>159</v>
      </c>
      <c r="K6" s="99">
        <v>12</v>
      </c>
      <c r="M6" s="46">
        <v>8</v>
      </c>
      <c r="N6" s="69"/>
      <c r="O6" s="60"/>
    </row>
    <row r="7" spans="1:15" x14ac:dyDescent="0.2">
      <c r="B7" s="145" t="s">
        <v>214</v>
      </c>
      <c r="C7" s="145">
        <v>36</v>
      </c>
      <c r="D7" s="91">
        <v>12</v>
      </c>
      <c r="E7" s="60">
        <v>5</v>
      </c>
      <c r="F7" s="60"/>
      <c r="G7" s="60" t="s">
        <v>47</v>
      </c>
      <c r="H7" s="62"/>
      <c r="I7" s="60" t="s">
        <v>51</v>
      </c>
      <c r="J7" s="99" t="s">
        <v>177</v>
      </c>
      <c r="K7" s="99">
        <v>12</v>
      </c>
      <c r="M7" s="46">
        <v>12</v>
      </c>
      <c r="N7" s="91"/>
      <c r="O7" s="60"/>
    </row>
    <row r="8" spans="1:15" x14ac:dyDescent="0.2">
      <c r="B8" s="145" t="s">
        <v>215</v>
      </c>
      <c r="C8" s="145">
        <v>36</v>
      </c>
      <c r="D8" s="91">
        <v>12</v>
      </c>
      <c r="E8" s="60">
        <v>6</v>
      </c>
      <c r="F8" s="60"/>
      <c r="G8" s="60"/>
      <c r="H8" s="62"/>
      <c r="I8" s="60" t="s">
        <v>52</v>
      </c>
      <c r="J8" s="99" t="s">
        <v>98</v>
      </c>
      <c r="K8" s="99">
        <v>24</v>
      </c>
      <c r="M8" s="46">
        <v>12</v>
      </c>
      <c r="N8" s="91"/>
      <c r="O8" s="60"/>
    </row>
    <row r="9" spans="1:15" x14ac:dyDescent="0.2">
      <c r="B9" s="145" t="s">
        <v>217</v>
      </c>
      <c r="C9" s="145">
        <v>18</v>
      </c>
      <c r="D9" s="91">
        <v>8</v>
      </c>
      <c r="E9" s="60"/>
      <c r="F9" s="60"/>
      <c r="G9" s="60"/>
      <c r="H9" s="62"/>
      <c r="I9" s="60" t="s">
        <v>53</v>
      </c>
      <c r="J9" s="69" t="s">
        <v>99</v>
      </c>
      <c r="K9" s="60">
        <v>48</v>
      </c>
      <c r="M9" s="46">
        <v>12</v>
      </c>
    </row>
    <row r="10" spans="1:15" x14ac:dyDescent="0.2">
      <c r="A10" s="47"/>
      <c r="B10" s="145" t="s">
        <v>216</v>
      </c>
      <c r="C10" s="145">
        <v>36</v>
      </c>
      <c r="D10" s="91">
        <v>12</v>
      </c>
      <c r="E10" s="61"/>
      <c r="F10" s="61"/>
      <c r="G10" s="61"/>
      <c r="H10" s="63"/>
      <c r="I10" s="61"/>
      <c r="J10" s="61"/>
      <c r="K10" s="60"/>
    </row>
    <row r="11" spans="1:15" x14ac:dyDescent="0.2">
      <c r="A11" s="48"/>
      <c r="B11" s="60"/>
      <c r="C11" s="60"/>
      <c r="D11" s="60"/>
      <c r="E11" s="60"/>
      <c r="F11" s="60"/>
      <c r="G11" s="60"/>
      <c r="H11" s="62"/>
      <c r="I11" s="60"/>
      <c r="J11" s="60"/>
      <c r="K11" s="60"/>
    </row>
    <row r="12" spans="1:15" x14ac:dyDescent="0.2">
      <c r="A12" s="48"/>
      <c r="B12" s="60" t="s">
        <v>85</v>
      </c>
      <c r="C12" s="60"/>
      <c r="D12" s="60"/>
      <c r="E12" s="60">
        <v>12</v>
      </c>
      <c r="F12" s="60"/>
      <c r="G12" s="60" t="s">
        <v>100</v>
      </c>
      <c r="H12" s="62"/>
      <c r="I12" s="91" t="s">
        <v>161</v>
      </c>
      <c r="J12" s="60"/>
      <c r="K12" s="60"/>
    </row>
    <row r="13" spans="1:15" ht="15" x14ac:dyDescent="0.2">
      <c r="A13" s="49"/>
      <c r="B13" s="60" t="s">
        <v>58</v>
      </c>
      <c r="C13" s="60"/>
      <c r="D13" s="60"/>
      <c r="E13" s="60">
        <v>13</v>
      </c>
      <c r="F13" s="60"/>
      <c r="G13" s="60" t="s">
        <v>101</v>
      </c>
      <c r="H13" s="62"/>
      <c r="I13" s="91" t="s">
        <v>162</v>
      </c>
      <c r="J13" s="60"/>
      <c r="K13" s="60"/>
    </row>
    <row r="14" spans="1:15" x14ac:dyDescent="0.2">
      <c r="A14" s="46"/>
      <c r="B14" s="60" t="s">
        <v>86</v>
      </c>
      <c r="C14" s="60"/>
      <c r="D14" s="60"/>
      <c r="E14" s="60">
        <v>14</v>
      </c>
      <c r="F14" s="60"/>
      <c r="G14" s="60" t="s">
        <v>102</v>
      </c>
      <c r="H14" s="62"/>
      <c r="I14" s="60"/>
      <c r="J14" s="60"/>
      <c r="K14" s="60"/>
    </row>
    <row r="15" spans="1:15" x14ac:dyDescent="0.2">
      <c r="A15" s="46"/>
      <c r="B15" s="60" t="s">
        <v>87</v>
      </c>
      <c r="C15" s="60"/>
      <c r="D15" s="60"/>
      <c r="E15" s="60">
        <v>15</v>
      </c>
      <c r="F15" s="60"/>
      <c r="G15" s="60" t="s">
        <v>103</v>
      </c>
      <c r="H15" s="62"/>
      <c r="I15" s="60">
        <v>0</v>
      </c>
      <c r="J15" s="60"/>
      <c r="K15" s="60"/>
    </row>
    <row r="16" spans="1:15" x14ac:dyDescent="0.2">
      <c r="A16" s="52"/>
      <c r="B16" s="60" t="s">
        <v>88</v>
      </c>
      <c r="C16" s="64"/>
      <c r="D16" s="64"/>
      <c r="E16" s="64">
        <v>16</v>
      </c>
      <c r="F16" s="64"/>
      <c r="G16" s="60" t="s">
        <v>104</v>
      </c>
      <c r="H16" s="62"/>
      <c r="I16" s="60">
        <v>2</v>
      </c>
      <c r="J16" s="60"/>
      <c r="K16" s="60"/>
    </row>
    <row r="17" spans="1:11" x14ac:dyDescent="0.2">
      <c r="A17" s="52"/>
      <c r="B17" s="60" t="s">
        <v>89</v>
      </c>
      <c r="C17" s="93"/>
      <c r="D17" s="93"/>
      <c r="E17" s="98">
        <v>17</v>
      </c>
      <c r="F17" s="93"/>
      <c r="G17" s="60" t="s">
        <v>105</v>
      </c>
      <c r="H17" s="94"/>
      <c r="I17" s="92">
        <v>3</v>
      </c>
      <c r="J17" s="92"/>
      <c r="K17" s="92"/>
    </row>
    <row r="18" spans="1:11" x14ac:dyDescent="0.2">
      <c r="A18" s="52"/>
      <c r="B18" s="60" t="s">
        <v>90</v>
      </c>
      <c r="C18" s="93"/>
      <c r="D18" s="93"/>
      <c r="E18" s="98">
        <v>18</v>
      </c>
      <c r="F18" s="93"/>
      <c r="G18" s="60" t="s">
        <v>106</v>
      </c>
      <c r="H18" s="94"/>
      <c r="I18" s="92">
        <v>4</v>
      </c>
      <c r="J18" s="92"/>
      <c r="K18" s="92"/>
    </row>
    <row r="19" spans="1:11" x14ac:dyDescent="0.2">
      <c r="A19" s="53"/>
      <c r="B19" s="92" t="s">
        <v>91</v>
      </c>
      <c r="C19" s="64"/>
      <c r="D19" s="64"/>
      <c r="E19" s="98">
        <v>19</v>
      </c>
      <c r="F19" s="64"/>
      <c r="G19" s="92" t="s">
        <v>107</v>
      </c>
      <c r="H19" s="62"/>
      <c r="I19" s="60">
        <v>5</v>
      </c>
      <c r="J19" s="60"/>
      <c r="K19" s="60"/>
    </row>
    <row r="20" spans="1:11" x14ac:dyDescent="0.2">
      <c r="A20" s="52"/>
      <c r="B20" s="92" t="s">
        <v>95</v>
      </c>
      <c r="C20" s="64"/>
      <c r="D20" s="64"/>
      <c r="E20" s="98">
        <v>20</v>
      </c>
      <c r="F20" s="64"/>
      <c r="G20" s="92" t="s">
        <v>108</v>
      </c>
      <c r="H20" s="62"/>
      <c r="I20" s="60">
        <v>6</v>
      </c>
      <c r="J20" s="60"/>
      <c r="K20" s="60"/>
    </row>
    <row r="21" spans="1:11" x14ac:dyDescent="0.2">
      <c r="A21" s="52"/>
      <c r="B21" s="92"/>
      <c r="C21" s="65"/>
      <c r="D21" s="65"/>
      <c r="E21" s="92"/>
      <c r="F21" s="64"/>
      <c r="G21" s="92" t="s">
        <v>109</v>
      </c>
      <c r="H21" s="62"/>
      <c r="I21" s="60">
        <v>7</v>
      </c>
      <c r="J21" s="60"/>
      <c r="K21" s="60"/>
    </row>
    <row r="22" spans="1:11" x14ac:dyDescent="0.2">
      <c r="A22" s="52"/>
      <c r="B22" s="92"/>
      <c r="C22" s="65"/>
      <c r="D22" s="65"/>
      <c r="E22" s="92"/>
      <c r="F22" s="64"/>
      <c r="G22" s="92" t="s">
        <v>110</v>
      </c>
      <c r="H22" s="65"/>
      <c r="I22" s="60">
        <v>8</v>
      </c>
      <c r="J22" s="60"/>
      <c r="K22" s="60"/>
    </row>
    <row r="23" spans="1:11" x14ac:dyDescent="0.2">
      <c r="A23" s="54"/>
      <c r="B23" s="60">
        <v>2</v>
      </c>
      <c r="C23" s="65"/>
      <c r="D23" s="65"/>
      <c r="E23" s="65"/>
      <c r="F23" s="64"/>
      <c r="G23" s="92" t="s">
        <v>111</v>
      </c>
      <c r="H23" s="62"/>
      <c r="I23" s="60"/>
      <c r="J23" s="60"/>
      <c r="K23" s="60"/>
    </row>
    <row r="24" spans="1:11" x14ac:dyDescent="0.2">
      <c r="A24" s="52"/>
      <c r="B24" s="60">
        <v>3</v>
      </c>
      <c r="C24" s="65"/>
      <c r="D24" s="65"/>
      <c r="E24" s="65"/>
      <c r="F24" s="64"/>
      <c r="G24" s="92" t="s">
        <v>112</v>
      </c>
      <c r="H24" s="62"/>
      <c r="I24" s="60"/>
      <c r="J24" s="60"/>
      <c r="K24" s="60"/>
    </row>
    <row r="25" spans="1:11" x14ac:dyDescent="0.2">
      <c r="A25" s="52"/>
      <c r="B25" s="60">
        <v>4</v>
      </c>
      <c r="C25" s="64"/>
      <c r="D25" s="64"/>
      <c r="E25" s="97" t="s">
        <v>171</v>
      </c>
      <c r="F25" s="64"/>
      <c r="G25" s="92" t="s">
        <v>113</v>
      </c>
      <c r="H25" s="62"/>
      <c r="I25" s="60"/>
      <c r="J25" s="60"/>
      <c r="K25" s="60"/>
    </row>
    <row r="26" spans="1:11" x14ac:dyDescent="0.2">
      <c r="A26" s="55"/>
      <c r="B26" s="60">
        <v>5</v>
      </c>
      <c r="C26" s="64"/>
      <c r="D26" s="64"/>
      <c r="E26" s="97" t="s">
        <v>172</v>
      </c>
      <c r="F26" s="64"/>
      <c r="G26" s="92" t="s">
        <v>114</v>
      </c>
      <c r="H26" s="62"/>
      <c r="I26" s="91" t="s">
        <v>220</v>
      </c>
      <c r="J26" s="60"/>
      <c r="K26" s="60"/>
    </row>
    <row r="27" spans="1:11" x14ac:dyDescent="0.2">
      <c r="A27" s="37"/>
      <c r="B27" s="60">
        <v>6</v>
      </c>
      <c r="C27" s="60"/>
      <c r="D27" s="60"/>
      <c r="E27" s="91"/>
      <c r="F27" s="60"/>
      <c r="G27" s="92" t="s">
        <v>115</v>
      </c>
      <c r="H27" s="62"/>
      <c r="I27" s="91" t="s">
        <v>221</v>
      </c>
      <c r="J27" s="60"/>
      <c r="K27" s="60"/>
    </row>
    <row r="28" spans="1:11" x14ac:dyDescent="0.2">
      <c r="A28" s="2"/>
      <c r="B28" s="60">
        <v>7</v>
      </c>
      <c r="C28" s="60"/>
      <c r="D28" s="60"/>
      <c r="E28" s="60"/>
      <c r="F28" s="60"/>
      <c r="G28" s="92" t="s">
        <v>116</v>
      </c>
      <c r="H28" s="62"/>
      <c r="I28" s="91" t="s">
        <v>222</v>
      </c>
      <c r="J28" s="60"/>
      <c r="K28" s="60"/>
    </row>
    <row r="29" spans="1:11" x14ac:dyDescent="0.2">
      <c r="A29" s="2"/>
      <c r="B29" s="60">
        <v>8</v>
      </c>
      <c r="C29" s="60"/>
      <c r="D29" s="60"/>
      <c r="E29" s="60"/>
      <c r="F29" s="60"/>
      <c r="G29" s="92" t="s">
        <v>117</v>
      </c>
      <c r="H29" s="62"/>
      <c r="I29" s="91" t="s">
        <v>223</v>
      </c>
      <c r="J29" s="60"/>
      <c r="K29" s="60"/>
    </row>
    <row r="30" spans="1:11" x14ac:dyDescent="0.2">
      <c r="A30" s="2"/>
      <c r="B30" s="91" t="s">
        <v>165</v>
      </c>
      <c r="C30" s="60"/>
      <c r="D30" s="60"/>
      <c r="E30" s="60"/>
      <c r="F30" s="60"/>
      <c r="G30" s="92" t="s">
        <v>118</v>
      </c>
      <c r="H30" s="62"/>
      <c r="I30" s="91" t="s">
        <v>224</v>
      </c>
      <c r="J30" s="60"/>
      <c r="K30" s="60"/>
    </row>
    <row r="31" spans="1:11" x14ac:dyDescent="0.2">
      <c r="A31" s="2"/>
      <c r="B31" s="91" t="s">
        <v>164</v>
      </c>
      <c r="C31" s="60"/>
      <c r="D31" s="60"/>
      <c r="E31" s="60"/>
      <c r="F31" s="60"/>
      <c r="G31" s="92" t="s">
        <v>119</v>
      </c>
      <c r="H31" s="62"/>
      <c r="I31" s="91" t="s">
        <v>225</v>
      </c>
      <c r="J31" s="60"/>
      <c r="K31" s="60"/>
    </row>
    <row r="32" spans="1:11" x14ac:dyDescent="0.2">
      <c r="A32" s="2"/>
      <c r="B32" s="60"/>
      <c r="C32" s="60"/>
      <c r="D32" s="60"/>
      <c r="E32" s="60"/>
      <c r="F32" s="60"/>
      <c r="G32" s="92" t="s">
        <v>262</v>
      </c>
      <c r="H32" s="62"/>
      <c r="I32" s="91" t="s">
        <v>226</v>
      </c>
      <c r="J32" s="60"/>
      <c r="K32" s="60"/>
    </row>
    <row r="33" spans="1:11" x14ac:dyDescent="0.2">
      <c r="A33" s="10"/>
      <c r="B33" s="91" t="s">
        <v>168</v>
      </c>
      <c r="C33" s="64"/>
      <c r="D33" s="64"/>
      <c r="E33" s="64"/>
      <c r="F33" s="64"/>
      <c r="G33" s="92" t="s">
        <v>120</v>
      </c>
      <c r="H33" s="66"/>
      <c r="I33" s="91" t="s">
        <v>227</v>
      </c>
      <c r="J33" s="64"/>
      <c r="K33" s="60"/>
    </row>
    <row r="34" spans="1:11" x14ac:dyDescent="0.2">
      <c r="A34" s="10"/>
      <c r="B34" s="91" t="s">
        <v>169</v>
      </c>
      <c r="C34" s="69"/>
      <c r="D34" s="69"/>
      <c r="E34" s="69"/>
      <c r="F34" s="69"/>
      <c r="G34" s="92" t="s">
        <v>206</v>
      </c>
      <c r="H34" s="70"/>
      <c r="I34" s="69"/>
      <c r="J34" s="69"/>
      <c r="K34" s="60"/>
    </row>
    <row r="35" spans="1:11" x14ac:dyDescent="0.2">
      <c r="A35" s="2"/>
      <c r="B35" s="91" t="s">
        <v>170</v>
      </c>
      <c r="C35" s="69"/>
      <c r="D35" s="69"/>
      <c r="E35" s="69"/>
      <c r="F35" s="69"/>
      <c r="G35" s="92" t="s">
        <v>208</v>
      </c>
      <c r="H35" s="70"/>
      <c r="I35" s="69"/>
      <c r="J35" s="69"/>
      <c r="K35" s="60"/>
    </row>
    <row r="36" spans="1:11" x14ac:dyDescent="0.2">
      <c r="A36" s="2"/>
      <c r="B36" s="69"/>
      <c r="C36" s="69"/>
      <c r="D36" s="69"/>
      <c r="E36" s="69"/>
      <c r="F36" s="69"/>
      <c r="G36" s="92" t="s">
        <v>97</v>
      </c>
      <c r="H36" s="70"/>
      <c r="I36" s="69"/>
      <c r="J36" s="69"/>
      <c r="K36" s="60"/>
    </row>
    <row r="37" spans="1:11" x14ac:dyDescent="0.2">
      <c r="A37" s="10"/>
      <c r="B37" s="69"/>
      <c r="C37" s="69"/>
      <c r="D37" s="69"/>
      <c r="E37" s="69"/>
      <c r="F37" s="69"/>
      <c r="G37" s="92" t="s">
        <v>121</v>
      </c>
      <c r="H37" s="70"/>
      <c r="I37" s="69"/>
      <c r="J37" s="69"/>
      <c r="K37" s="60"/>
    </row>
    <row r="38" spans="1:11" x14ac:dyDescent="0.2">
      <c r="A38" s="2"/>
      <c r="B38" s="69"/>
      <c r="C38" s="69"/>
      <c r="D38" s="69"/>
      <c r="E38" s="69"/>
      <c r="F38" s="69"/>
      <c r="G38" s="92" t="s">
        <v>122</v>
      </c>
      <c r="H38" s="70"/>
      <c r="I38" s="69"/>
      <c r="J38" s="69"/>
      <c r="K38" s="60"/>
    </row>
    <row r="39" spans="1:11" x14ac:dyDescent="0.2">
      <c r="A39" s="2"/>
      <c r="B39" s="69"/>
      <c r="C39" s="69"/>
      <c r="D39" s="69"/>
      <c r="E39" s="69"/>
      <c r="F39" s="69"/>
      <c r="G39" s="92" t="s">
        <v>123</v>
      </c>
      <c r="H39" s="70"/>
      <c r="I39" s="69"/>
      <c r="J39" s="69"/>
      <c r="K39" s="60"/>
    </row>
    <row r="40" spans="1:11" x14ac:dyDescent="0.2">
      <c r="A40" s="2"/>
      <c r="B40" s="69"/>
      <c r="C40" s="69"/>
      <c r="D40" s="69"/>
      <c r="E40" s="69"/>
      <c r="F40" s="69"/>
      <c r="G40" s="92" t="s">
        <v>124</v>
      </c>
      <c r="H40" s="70"/>
      <c r="I40" s="69"/>
      <c r="J40" s="69"/>
      <c r="K40" s="60"/>
    </row>
    <row r="41" spans="1:11" x14ac:dyDescent="0.2">
      <c r="A41" s="2"/>
      <c r="B41" s="69"/>
      <c r="C41" s="69"/>
      <c r="D41" s="69"/>
      <c r="E41" s="69"/>
      <c r="F41" s="69"/>
      <c r="G41" s="92" t="s">
        <v>125</v>
      </c>
      <c r="H41" s="70"/>
      <c r="I41" s="69"/>
      <c r="J41" s="69"/>
      <c r="K41" s="60"/>
    </row>
    <row r="42" spans="1:11" x14ac:dyDescent="0.2">
      <c r="A42" s="2"/>
      <c r="B42" s="69"/>
      <c r="C42" s="69"/>
      <c r="D42" s="69"/>
      <c r="E42" s="69"/>
      <c r="F42" s="69"/>
      <c r="G42" s="92" t="s">
        <v>126</v>
      </c>
      <c r="H42" s="70"/>
      <c r="I42" s="69"/>
      <c r="J42" s="69"/>
      <c r="K42" s="60"/>
    </row>
    <row r="43" spans="1:11" x14ac:dyDescent="0.2">
      <c r="A43" s="2"/>
      <c r="B43" s="69"/>
      <c r="C43" s="69"/>
      <c r="D43" s="69"/>
      <c r="E43" s="69"/>
      <c r="F43" s="69"/>
      <c r="G43" s="92" t="s">
        <v>127</v>
      </c>
      <c r="H43" s="70"/>
      <c r="I43" s="69"/>
      <c r="J43" s="69"/>
      <c r="K43" s="60"/>
    </row>
    <row r="44" spans="1:11" x14ac:dyDescent="0.2">
      <c r="A44" s="2"/>
      <c r="B44" s="69"/>
      <c r="C44" s="69"/>
      <c r="D44" s="69"/>
      <c r="E44" s="69"/>
      <c r="F44" s="69"/>
      <c r="G44" s="92" t="s">
        <v>128</v>
      </c>
      <c r="H44" s="70"/>
      <c r="I44" s="69"/>
      <c r="J44" s="69"/>
      <c r="K44" s="60"/>
    </row>
    <row r="45" spans="1:11" x14ac:dyDescent="0.2">
      <c r="A45" s="2"/>
      <c r="B45" s="69"/>
      <c r="C45" s="69"/>
      <c r="D45" s="69"/>
      <c r="E45" s="69"/>
      <c r="F45" s="69"/>
      <c r="G45" s="92" t="s">
        <v>129</v>
      </c>
      <c r="H45" s="70"/>
      <c r="I45" s="69"/>
      <c r="J45" s="69"/>
      <c r="K45" s="60"/>
    </row>
    <row r="46" spans="1:11" x14ac:dyDescent="0.2">
      <c r="A46" s="2"/>
      <c r="B46" s="69"/>
      <c r="C46" s="69"/>
      <c r="D46" s="69"/>
      <c r="E46" s="69"/>
      <c r="F46" s="69"/>
      <c r="G46" s="92" t="s">
        <v>130</v>
      </c>
      <c r="H46" s="70"/>
      <c r="I46" s="69"/>
      <c r="J46" s="69"/>
      <c r="K46" s="60"/>
    </row>
    <row r="47" spans="1:11" x14ac:dyDescent="0.2">
      <c r="A47" s="2"/>
      <c r="B47" s="69"/>
      <c r="C47" s="69"/>
      <c r="D47" s="69"/>
      <c r="E47" s="69"/>
      <c r="F47" s="69"/>
      <c r="G47" s="92" t="s">
        <v>131</v>
      </c>
      <c r="H47" s="70"/>
      <c r="I47" s="69"/>
      <c r="J47" s="69"/>
      <c r="K47" s="60"/>
    </row>
    <row r="48" spans="1:11" x14ac:dyDescent="0.2">
      <c r="B48" s="92"/>
      <c r="C48" s="92"/>
      <c r="D48" s="91"/>
      <c r="E48" s="92"/>
      <c r="F48" s="92"/>
      <c r="G48" s="92" t="s">
        <v>132</v>
      </c>
      <c r="H48" s="94"/>
      <c r="I48" s="92"/>
      <c r="J48" s="92"/>
      <c r="K48" s="92"/>
    </row>
    <row r="54" spans="2:11" x14ac:dyDescent="0.2">
      <c r="B54" s="238" t="s">
        <v>233</v>
      </c>
      <c r="C54" s="238"/>
      <c r="D54" s="238"/>
      <c r="E54" s="238"/>
      <c r="F54" s="238"/>
      <c r="G54" s="238"/>
      <c r="H54" s="238"/>
      <c r="I54" s="238"/>
      <c r="J54" s="238"/>
      <c r="K54" s="238"/>
    </row>
    <row r="55" spans="2:11" x14ac:dyDescent="0.2">
      <c r="B55" s="238"/>
      <c r="C55" s="238"/>
      <c r="D55" s="238"/>
      <c r="E55" s="238"/>
      <c r="F55" s="238"/>
      <c r="G55" s="238"/>
      <c r="H55" s="238"/>
      <c r="I55" s="238"/>
      <c r="J55" s="238"/>
      <c r="K55" s="238"/>
    </row>
  </sheetData>
  <sheetProtection algorithmName="SHA-512" hashValue="svWgFm+Q5zRf2tzlAH4KjkEi+x/W1t1ofLqPzntZ11PTeH79Ha3TyBJIczOHqg7pHcLeqRNuCV0xAONuLr5PHw==" saltValue="1rB9FjPRWTkrZEgVJFB1DQ==" spinCount="100000" sheet="1" objects="1" scenarios="1"/>
  <mergeCells count="1">
    <mergeCell ref="B54:K55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Leaching</vt:lpstr>
      <vt:lpstr>tables</vt:lpstr>
      <vt:lpstr>lookups</vt:lpstr>
      <vt:lpstr>Leaching!Print_Area</vt:lpstr>
    </vt:vector>
  </TitlesOfParts>
  <Company>Licking County Health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Leaching Design Spreadsheet</dc:title>
  <dc:creator>Joe Ebel</dc:creator>
  <cp:keywords>Licking County Health Department</cp:keywords>
  <cp:lastModifiedBy>Chad Brown</cp:lastModifiedBy>
  <cp:lastPrinted>2015-03-20T19:40:25Z</cp:lastPrinted>
  <dcterms:created xsi:type="dcterms:W3CDTF">2005-05-18T02:14:02Z</dcterms:created>
  <dcterms:modified xsi:type="dcterms:W3CDTF">2020-05-12T15:56:27Z</dcterms:modified>
</cp:coreProperties>
</file>